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sfiles\dss\Sudley\Homeless Services\Homeless Services Division\Administrative\FY25\Grants\HUD\CoC NOFO\Renewal Projects\Scoring Tools &amp; Data\"/>
    </mc:Choice>
  </mc:AlternateContent>
  <xr:revisionPtr revIDLastSave="0" documentId="13_ncr:1_{FC129393-0953-4FBB-BD6A-6C93EC40C73D}" xr6:coauthVersionLast="47" xr6:coauthVersionMax="47" xr10:uidLastSave="{00000000-0000-0000-0000-000000000000}"/>
  <bookViews>
    <workbookView xWindow="28680" yWindow="-120" windowWidth="29040" windowHeight="15720" tabRatio="881" activeTab="1" xr2:uid="{5EF95487-D403-4811-BD04-B5F4F7C3C7B1}"/>
  </bookViews>
  <sheets>
    <sheet name="Instructions" sheetId="18" r:id="rId1"/>
    <sheet name="FY25 Standards" sheetId="23" r:id="rId2"/>
    <sheet name="FY25 Calculations" sheetId="24" r:id="rId3"/>
    <sheet name="FY25 Measure Types" sheetId="25" r:id="rId4"/>
    <sheet name="PSH Project Report" sheetId="2" r:id="rId5"/>
    <sheet name="RRH Project Report" sheetId="17" r:id="rId6"/>
    <sheet name="Summary Report" sheetId="10" r:id="rId7"/>
    <sheet name="Scoring Calculator" sheetId="15" r:id="rId8"/>
    <sheet name="Raw Project Data" sheetId="13" r:id="rId9"/>
    <sheet name="Example Shell Tables" sheetId="14" r:id="rId10"/>
    <sheet name="2019 Standards" sheetId="4" state="hidden" r:id="rId11"/>
    <sheet name="Ind. Report - SH" sheetId="9" state="hidden" r:id="rId12"/>
    <sheet name="vlookup- do not delete" sheetId="16" state="hidden" r:id="rId13"/>
  </sheets>
  <definedNames>
    <definedName name="_xlnm._FilterDatabase" localSheetId="12" hidden="1">'vlookup- do not delete'!$A$1:$D$1</definedName>
    <definedName name="_xlnm.Print_Area" localSheetId="9">'Example Shell Tables'!$A$1:$J$261</definedName>
    <definedName name="_xlnm.Print_Area" localSheetId="11">'Ind. Report - SH'!$I$3:$R$45</definedName>
    <definedName name="_xlnm.Print_Area" localSheetId="4">'PSH Project Report'!$A$2:$M$58</definedName>
    <definedName name="_xlnm.Print_Area" localSheetId="5">'RRH Project Report'!$A$2:$M$59</definedName>
    <definedName name="_xlnm.Print_Titles" localSheetId="9">'Example Shell Tables'!$1:$1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17" l="1"/>
  <c r="J45" i="17"/>
  <c r="I44" i="17"/>
  <c r="K44" i="17" s="1"/>
  <c r="I32" i="2"/>
  <c r="K32" i="2" s="1"/>
  <c r="J32" i="2" s="1"/>
  <c r="AY6" i="15"/>
  <c r="AY7" i="15"/>
  <c r="AY8" i="15"/>
  <c r="AY9" i="15"/>
  <c r="AY10" i="15"/>
  <c r="AY11" i="15"/>
  <c r="AY5" i="15"/>
  <c r="AT7" i="15"/>
  <c r="AT8" i="15"/>
  <c r="AT9" i="15"/>
  <c r="AT10" i="15"/>
  <c r="AT11" i="15"/>
  <c r="AT5" i="15"/>
  <c r="AS6" i="15"/>
  <c r="AS7" i="15"/>
  <c r="AS8" i="15"/>
  <c r="AS9" i="15"/>
  <c r="AS10" i="15"/>
  <c r="AS11" i="15"/>
  <c r="AS5" i="15"/>
  <c r="AR6" i="15"/>
  <c r="AR7" i="15"/>
  <c r="AR8" i="15"/>
  <c r="AR9" i="15"/>
  <c r="AR10" i="15"/>
  <c r="AR11" i="15"/>
  <c r="AR5" i="15"/>
  <c r="AQ6" i="15"/>
  <c r="AQ7" i="15"/>
  <c r="AQ8" i="15"/>
  <c r="AQ9" i="15"/>
  <c r="AQ10" i="15"/>
  <c r="AQ11" i="15"/>
  <c r="AQ5" i="15"/>
  <c r="AP6" i="15"/>
  <c r="AP7" i="15"/>
  <c r="AP8" i="15"/>
  <c r="AP9" i="15"/>
  <c r="AP10" i="15"/>
  <c r="AP11" i="15"/>
  <c r="AP5" i="15"/>
  <c r="AN6" i="15"/>
  <c r="AN7" i="15"/>
  <c r="AN8" i="15"/>
  <c r="AN9" i="15"/>
  <c r="AN10" i="15"/>
  <c r="AN11" i="15"/>
  <c r="AN5" i="15"/>
  <c r="AM6" i="15"/>
  <c r="AM7" i="15"/>
  <c r="AM8" i="15"/>
  <c r="AM9" i="15"/>
  <c r="AM10" i="15"/>
  <c r="AM11" i="15"/>
  <c r="AM5" i="15"/>
  <c r="AL6" i="15"/>
  <c r="AL7" i="15"/>
  <c r="AL8" i="15"/>
  <c r="AL9" i="15"/>
  <c r="AL10" i="15"/>
  <c r="AL11" i="15"/>
  <c r="AL5" i="15"/>
  <c r="AK6" i="15"/>
  <c r="AK7" i="15"/>
  <c r="AK8" i="15"/>
  <c r="AK9" i="15"/>
  <c r="AK10" i="15"/>
  <c r="AK11" i="15"/>
  <c r="AK5" i="15"/>
  <c r="AJ6" i="15"/>
  <c r="AJ7" i="15"/>
  <c r="AJ8" i="15"/>
  <c r="AJ9" i="15"/>
  <c r="AJ10" i="15"/>
  <c r="AJ11" i="15"/>
  <c r="AJ5" i="15"/>
  <c r="Z6" i="15"/>
  <c r="Z7" i="15"/>
  <c r="Z8" i="15"/>
  <c r="Z9" i="15"/>
  <c r="Z10" i="15"/>
  <c r="Z11" i="15"/>
  <c r="Z5" i="15"/>
  <c r="U6" i="15"/>
  <c r="AT6" i="15" s="1"/>
  <c r="U7" i="15"/>
  <c r="U8" i="15"/>
  <c r="U9" i="15"/>
  <c r="U10" i="15"/>
  <c r="U11" i="15"/>
  <c r="U5" i="15"/>
  <c r="O6" i="15"/>
  <c r="O7" i="15"/>
  <c r="O8" i="15"/>
  <c r="O9" i="15"/>
  <c r="O10" i="15"/>
  <c r="O11" i="15"/>
  <c r="O5" i="15"/>
  <c r="C51" i="25"/>
  <c r="E51" i="25" s="1"/>
  <c r="C50" i="25"/>
  <c r="E50" i="25" s="1"/>
  <c r="G43" i="25"/>
  <c r="G35" i="25"/>
  <c r="G44" i="25" s="1"/>
  <c r="G34" i="25"/>
  <c r="G43" i="23"/>
  <c r="G35" i="23"/>
  <c r="G34" i="23"/>
  <c r="A30" i="23"/>
  <c r="A36" i="23" s="1"/>
  <c r="A23" i="23"/>
  <c r="A24" i="23" s="1"/>
  <c r="A28" i="23" s="1"/>
  <c r="A19" i="23"/>
  <c r="A20" i="23" s="1"/>
  <c r="A21" i="23" s="1"/>
  <c r="A8" i="23"/>
  <c r="G7" i="17"/>
  <c r="J10" i="2"/>
  <c r="J9" i="2"/>
  <c r="E10" i="2"/>
  <c r="E9" i="2"/>
  <c r="G7" i="2"/>
  <c r="G5" i="2"/>
  <c r="D7" i="2"/>
  <c r="D5" i="2"/>
  <c r="J10" i="17"/>
  <c r="J9" i="17"/>
  <c r="E10" i="17"/>
  <c r="E9" i="17"/>
  <c r="G5" i="17"/>
  <c r="D7" i="17"/>
  <c r="D5" i="17"/>
  <c r="G44" i="23" l="1"/>
  <c r="A9" i="23"/>
  <c r="A10" i="23" s="1"/>
  <c r="A11" i="23" s="1"/>
  <c r="A12" i="23" s="1"/>
  <c r="A13" i="23" s="1"/>
  <c r="A14" i="23" s="1"/>
  <c r="A15" i="23" s="1"/>
  <c r="A16" i="23" s="1"/>
  <c r="J44" i="17"/>
  <c r="I33" i="17"/>
  <c r="K33" i="17" s="1"/>
  <c r="J33" i="17" s="1"/>
  <c r="C49" i="25"/>
  <c r="E49" i="25" s="1"/>
  <c r="K8" i="15"/>
  <c r="K9" i="15"/>
  <c r="K10" i="15"/>
  <c r="K11" i="15"/>
  <c r="H5" i="15"/>
  <c r="I17" i="2" s="1"/>
  <c r="V6" i="15" l="1"/>
  <c r="I36" i="17" s="1"/>
  <c r="V7" i="15"/>
  <c r="V8" i="15"/>
  <c r="V9" i="15"/>
  <c r="V10" i="15"/>
  <c r="V11" i="15"/>
  <c r="V5" i="15"/>
  <c r="I35" i="2" s="1"/>
  <c r="H6" i="15" l="1"/>
  <c r="I6" i="15"/>
  <c r="J6" i="15"/>
  <c r="K6" i="15"/>
  <c r="L6" i="15"/>
  <c r="I22" i="17" s="1"/>
  <c r="M6" i="15"/>
  <c r="N6" i="15"/>
  <c r="P6" i="15"/>
  <c r="Q6" i="15"/>
  <c r="R6" i="15"/>
  <c r="S6" i="15"/>
  <c r="T6" i="15"/>
  <c r="AU6" i="15"/>
  <c r="K36" i="17" s="1"/>
  <c r="W6" i="15"/>
  <c r="X6" i="15"/>
  <c r="Y6" i="15"/>
  <c r="AA6" i="15"/>
  <c r="AB6" i="15"/>
  <c r="AC6" i="15"/>
  <c r="AD6" i="15"/>
  <c r="AE6" i="15"/>
  <c r="D6" i="15"/>
  <c r="D5" i="15"/>
  <c r="J7" i="2" s="1"/>
  <c r="AE7" i="15"/>
  <c r="AE8" i="15"/>
  <c r="BD8" i="15" s="1"/>
  <c r="AE9" i="15"/>
  <c r="BD9" i="15" s="1"/>
  <c r="AE10" i="15"/>
  <c r="BD10" i="15" s="1"/>
  <c r="AE11" i="15"/>
  <c r="BD11" i="15" s="1"/>
  <c r="AE5" i="15"/>
  <c r="AD7" i="15"/>
  <c r="BC7" i="15" s="1"/>
  <c r="AD8" i="15"/>
  <c r="BC8" i="15" s="1"/>
  <c r="AD9" i="15"/>
  <c r="BC9" i="15" s="1"/>
  <c r="AD10" i="15"/>
  <c r="BC10" i="15" s="1"/>
  <c r="AD11" i="15"/>
  <c r="BC11" i="15" s="1"/>
  <c r="AD5" i="15"/>
  <c r="AA7" i="15"/>
  <c r="AZ7" i="15" s="1"/>
  <c r="AA8" i="15"/>
  <c r="AZ8" i="15" s="1"/>
  <c r="AA9" i="15"/>
  <c r="AZ9" i="15" s="1"/>
  <c r="AA10" i="15"/>
  <c r="AZ10" i="15" s="1"/>
  <c r="AA11" i="15"/>
  <c r="AZ11" i="15" s="1"/>
  <c r="AA5" i="15"/>
  <c r="Y7" i="15"/>
  <c r="Y8" i="15"/>
  <c r="AX8" i="15" s="1"/>
  <c r="Y9" i="15"/>
  <c r="AX9" i="15" s="1"/>
  <c r="Y10" i="15"/>
  <c r="Y11" i="15"/>
  <c r="AX11" i="15" s="1"/>
  <c r="Y5" i="15"/>
  <c r="AX5" i="15" s="1"/>
  <c r="X5" i="15"/>
  <c r="I39" i="2" s="1"/>
  <c r="I5" i="15"/>
  <c r="I18" i="2" s="1"/>
  <c r="I32" i="17" l="1"/>
  <c r="K22" i="17"/>
  <c r="J22" i="17" s="1"/>
  <c r="J7" i="17"/>
  <c r="BD6" i="15"/>
  <c r="I52" i="17"/>
  <c r="I26" i="17"/>
  <c r="I29" i="17"/>
  <c r="AO6" i="15"/>
  <c r="I27" i="17"/>
  <c r="I25" i="17"/>
  <c r="AZ5" i="15"/>
  <c r="I47" i="2"/>
  <c r="BB6" i="15"/>
  <c r="I50" i="17"/>
  <c r="I24" i="17"/>
  <c r="BD5" i="15"/>
  <c r="I51" i="2"/>
  <c r="BC6" i="15"/>
  <c r="I51" i="17"/>
  <c r="BA6" i="15"/>
  <c r="I49" i="17"/>
  <c r="AZ6" i="15"/>
  <c r="I48" i="17"/>
  <c r="K48" i="17" s="1"/>
  <c r="AI6" i="15"/>
  <c r="I20" i="17"/>
  <c r="BC5" i="15"/>
  <c r="I50" i="2"/>
  <c r="AX6" i="15"/>
  <c r="I41" i="17"/>
  <c r="AG6" i="15"/>
  <c r="I17" i="17"/>
  <c r="I31" i="17"/>
  <c r="AH6" i="15"/>
  <c r="I18" i="17"/>
  <c r="AW6" i="15"/>
  <c r="I40" i="17"/>
  <c r="K40" i="17" s="1"/>
  <c r="AV6" i="15"/>
  <c r="I39" i="17"/>
  <c r="BD7" i="15"/>
  <c r="AX10" i="15"/>
  <c r="I40" i="2"/>
  <c r="AX7" i="15"/>
  <c r="H11" i="15"/>
  <c r="AG11" i="15" s="1"/>
  <c r="I11" i="15"/>
  <c r="AH11" i="15" s="1"/>
  <c r="J11" i="15"/>
  <c r="AI11" i="15" s="1"/>
  <c r="L11" i="15"/>
  <c r="M11" i="15"/>
  <c r="N11" i="15"/>
  <c r="P11" i="15"/>
  <c r="AO11" i="15" s="1"/>
  <c r="Q11" i="15"/>
  <c r="R11" i="15"/>
  <c r="S11" i="15"/>
  <c r="T11" i="15"/>
  <c r="AU11" i="15"/>
  <c r="W11" i="15"/>
  <c r="AV11" i="15" s="1"/>
  <c r="X11" i="15"/>
  <c r="AW11" i="15" s="1"/>
  <c r="AB11" i="15"/>
  <c r="BA11" i="15" s="1"/>
  <c r="AC11" i="15"/>
  <c r="BB11" i="15" s="1"/>
  <c r="D11" i="15"/>
  <c r="K39" i="17" l="1"/>
  <c r="K20" i="17"/>
  <c r="K49" i="17"/>
  <c r="K50" i="2"/>
  <c r="K41" i="17"/>
  <c r="J41" i="17" s="1"/>
  <c r="K27" i="17"/>
  <c r="K17" i="17"/>
  <c r="K29" i="17"/>
  <c r="J29" i="17" s="1"/>
  <c r="K25" i="17"/>
  <c r="J25" i="17" s="1"/>
  <c r="K52" i="17"/>
  <c r="J52" i="17" s="1"/>
  <c r="K24" i="17"/>
  <c r="J24" i="17" s="1"/>
  <c r="K51" i="17"/>
  <c r="K32" i="17"/>
  <c r="J32" i="17" s="1"/>
  <c r="K51" i="2"/>
  <c r="J51" i="2" s="1"/>
  <c r="K26" i="17"/>
  <c r="J26" i="17" s="1"/>
  <c r="K31" i="17"/>
  <c r="J31" i="17" s="1"/>
  <c r="K18" i="17"/>
  <c r="K50" i="17"/>
  <c r="K47" i="2"/>
  <c r="K40" i="2"/>
  <c r="J40" i="2" s="1"/>
  <c r="J5" i="15" l="1"/>
  <c r="H7" i="15"/>
  <c r="AG7" i="15" s="1"/>
  <c r="I7" i="15"/>
  <c r="AH7" i="15" s="1"/>
  <c r="J7" i="15"/>
  <c r="K7" i="15"/>
  <c r="L7" i="15"/>
  <c r="M7" i="15"/>
  <c r="N7" i="15"/>
  <c r="P7" i="15"/>
  <c r="AO7" i="15" s="1"/>
  <c r="Q7" i="15"/>
  <c r="R7" i="15"/>
  <c r="S7" i="15"/>
  <c r="T7" i="15"/>
  <c r="AU7" i="15"/>
  <c r="W7" i="15"/>
  <c r="AV7" i="15" s="1"/>
  <c r="X7" i="15"/>
  <c r="AW7" i="15" s="1"/>
  <c r="AB7" i="15"/>
  <c r="BA7" i="15" s="1"/>
  <c r="AC7" i="15"/>
  <c r="BB7" i="15" s="1"/>
  <c r="H8" i="15"/>
  <c r="AG8" i="15" s="1"/>
  <c r="I8" i="15"/>
  <c r="AH8" i="15" s="1"/>
  <c r="J8" i="15"/>
  <c r="AI8" i="15" s="1"/>
  <c r="L8" i="15"/>
  <c r="M8" i="15"/>
  <c r="N8" i="15"/>
  <c r="P8" i="15"/>
  <c r="AO8" i="15" s="1"/>
  <c r="Q8" i="15"/>
  <c r="R8" i="15"/>
  <c r="S8" i="15"/>
  <c r="T8" i="15"/>
  <c r="AU8" i="15"/>
  <c r="W8" i="15"/>
  <c r="AV8" i="15" s="1"/>
  <c r="X8" i="15"/>
  <c r="AW8" i="15" s="1"/>
  <c r="AB8" i="15"/>
  <c r="BA8" i="15" s="1"/>
  <c r="AC8" i="15"/>
  <c r="BB8" i="15" s="1"/>
  <c r="H9" i="15"/>
  <c r="AG9" i="15" s="1"/>
  <c r="I9" i="15"/>
  <c r="AH9" i="15" s="1"/>
  <c r="J9" i="15"/>
  <c r="AI9" i="15" s="1"/>
  <c r="L9" i="15"/>
  <c r="M9" i="15"/>
  <c r="N9" i="15"/>
  <c r="P9" i="15"/>
  <c r="AO9" i="15" s="1"/>
  <c r="Q9" i="15"/>
  <c r="R9" i="15"/>
  <c r="S9" i="15"/>
  <c r="T9" i="15"/>
  <c r="AU9" i="15"/>
  <c r="W9" i="15"/>
  <c r="AV9" i="15" s="1"/>
  <c r="X9" i="15"/>
  <c r="AW9" i="15" s="1"/>
  <c r="AB9" i="15"/>
  <c r="BA9" i="15" s="1"/>
  <c r="AC9" i="15"/>
  <c r="BB9" i="15" s="1"/>
  <c r="H10" i="15"/>
  <c r="AG10" i="15" s="1"/>
  <c r="I10" i="15"/>
  <c r="AH10" i="15" s="1"/>
  <c r="J10" i="15"/>
  <c r="AI10" i="15" s="1"/>
  <c r="L10" i="15"/>
  <c r="M10" i="15"/>
  <c r="N10" i="15"/>
  <c r="P10" i="15"/>
  <c r="AO10" i="15" s="1"/>
  <c r="Q10" i="15"/>
  <c r="R10" i="15"/>
  <c r="S10" i="15"/>
  <c r="T10" i="15"/>
  <c r="AU10" i="15"/>
  <c r="W10" i="15"/>
  <c r="AV10" i="15" s="1"/>
  <c r="X10" i="15"/>
  <c r="AW10" i="15" s="1"/>
  <c r="AB10" i="15"/>
  <c r="BA10" i="15" s="1"/>
  <c r="AC10" i="15"/>
  <c r="BB10" i="15" s="1"/>
  <c r="AW5" i="15"/>
  <c r="K39" i="2" s="1"/>
  <c r="AI7" i="15" l="1"/>
  <c r="I20" i="2"/>
  <c r="S5" i="15"/>
  <c r="T5" i="15" l="1"/>
  <c r="I27" i="2"/>
  <c r="K43" i="2" l="1"/>
  <c r="I43" i="2"/>
  <c r="I31" i="2"/>
  <c r="K31" i="2" s="1"/>
  <c r="J31" i="2" s="1"/>
  <c r="K27" i="2"/>
  <c r="J27" i="2" s="1"/>
  <c r="AU5" i="15"/>
  <c r="K35" i="2" s="1"/>
  <c r="J50" i="2"/>
  <c r="J51" i="17"/>
  <c r="AH5" i="15"/>
  <c r="K18" i="2" s="1"/>
  <c r="K44" i="2" l="1"/>
  <c r="J43" i="2"/>
  <c r="J44" i="2" s="1"/>
  <c r="K36" i="2"/>
  <c r="D7" i="15"/>
  <c r="D8" i="15"/>
  <c r="D9" i="15"/>
  <c r="D10" i="15"/>
  <c r="Q5" i="15"/>
  <c r="J36" i="17" l="1"/>
  <c r="J37" i="17" s="1"/>
  <c r="K37" i="17"/>
  <c r="AC5" i="15" l="1"/>
  <c r="I49" i="2" s="1"/>
  <c r="AB5" i="15"/>
  <c r="I48" i="2" s="1"/>
  <c r="BA5" i="15" l="1"/>
  <c r="K48" i="2" s="1"/>
  <c r="BB5" i="15"/>
  <c r="K49" i="2" s="1"/>
  <c r="J49" i="17" l="1"/>
  <c r="J50" i="17"/>
  <c r="J49" i="2"/>
  <c r="J48" i="2"/>
  <c r="L5" i="15"/>
  <c r="I23" i="2" s="1"/>
  <c r="K5" i="15"/>
  <c r="I21" i="2" s="1"/>
  <c r="N5" i="15"/>
  <c r="I26" i="2" s="1"/>
  <c r="M5" i="15"/>
  <c r="I25" i="2" s="1"/>
  <c r="D6" i="17"/>
  <c r="K23" i="2" l="1"/>
  <c r="J23" i="2" s="1"/>
  <c r="K25" i="2"/>
  <c r="J25" i="2" s="1"/>
  <c r="K26" i="2"/>
  <c r="J26" i="2" s="1"/>
  <c r="K21" i="2"/>
  <c r="J21" i="2" s="1"/>
  <c r="R5" i="15"/>
  <c r="P5" i="15"/>
  <c r="I28" i="2" s="1"/>
  <c r="W5" i="15"/>
  <c r="I38" i="2" s="1"/>
  <c r="AG5" i="15"/>
  <c r="K17" i="2" s="1"/>
  <c r="I30" i="2" l="1"/>
  <c r="K30" i="2" s="1"/>
  <c r="J30" i="2" s="1"/>
  <c r="AV5" i="15"/>
  <c r="K38" i="2" s="1"/>
  <c r="AO5" i="15"/>
  <c r="K28" i="2" s="1"/>
  <c r="AI5" i="15"/>
  <c r="K20" i="2" s="1"/>
  <c r="C22" i="9"/>
  <c r="B22" i="9"/>
  <c r="K42" i="17" l="1"/>
  <c r="K41" i="2"/>
  <c r="J47" i="2"/>
  <c r="J52" i="2" s="1"/>
  <c r="J55" i="2" s="1"/>
  <c r="J20" i="17"/>
  <c r="J27" i="17"/>
  <c r="J28" i="2"/>
  <c r="J17" i="17"/>
  <c r="J34" i="17" s="1"/>
  <c r="J18" i="17"/>
  <c r="X18" i="9"/>
  <c r="Y18" i="9"/>
  <c r="X19" i="9"/>
  <c r="Y19" i="9"/>
  <c r="X20" i="9"/>
  <c r="Y20" i="9"/>
  <c r="X21" i="9"/>
  <c r="Y21" i="9"/>
  <c r="X22" i="9"/>
  <c r="Y22" i="9"/>
  <c r="X23" i="9"/>
  <c r="Y23" i="9"/>
  <c r="X24" i="9"/>
  <c r="Y24" i="9"/>
  <c r="X25" i="9"/>
  <c r="Y25" i="9"/>
  <c r="X26" i="9"/>
  <c r="Y26" i="9"/>
  <c r="X27" i="9"/>
  <c r="Y27" i="9"/>
  <c r="X28" i="9"/>
  <c r="Y28" i="9"/>
  <c r="X29" i="9"/>
  <c r="Y29" i="9"/>
  <c r="X30" i="9"/>
  <c r="Y30" i="9"/>
  <c r="X31" i="9"/>
  <c r="Y31" i="9"/>
  <c r="X32" i="9"/>
  <c r="Y32" i="9"/>
  <c r="X33" i="9"/>
  <c r="Y33" i="9"/>
  <c r="X34" i="9"/>
  <c r="Y34" i="9"/>
  <c r="X35" i="9"/>
  <c r="Y35" i="9"/>
  <c r="X36" i="9"/>
  <c r="Y36" i="9"/>
  <c r="W37" i="9"/>
  <c r="X37" i="9"/>
  <c r="Y37" i="9"/>
  <c r="K53" i="17" l="1"/>
  <c r="K56" i="17" s="1"/>
  <c r="J48" i="17"/>
  <c r="J53" i="17" s="1"/>
  <c r="J56" i="17" s="1"/>
  <c r="K52" i="2"/>
  <c r="K55" i="2" s="1"/>
  <c r="J39" i="17"/>
  <c r="K34" i="17"/>
  <c r="K33" i="2"/>
  <c r="K45" i="2" s="1"/>
  <c r="J35" i="2"/>
  <c r="J36" i="2" s="1"/>
  <c r="J40" i="17"/>
  <c r="C44" i="9"/>
  <c r="C43" i="9"/>
  <c r="K46" i="17" l="1"/>
  <c r="K55" i="17" s="1"/>
  <c r="K54" i="2"/>
  <c r="J42" i="17"/>
  <c r="J46" i="17" s="1"/>
  <c r="C42" i="9"/>
  <c r="C38" i="9"/>
  <c r="B38" i="9"/>
  <c r="C37" i="9"/>
  <c r="B37" i="9"/>
  <c r="C34" i="9"/>
  <c r="B34" i="9"/>
  <c r="C33" i="9"/>
  <c r="B33" i="9"/>
  <c r="C32" i="9"/>
  <c r="B32" i="9"/>
  <c r="C29" i="9"/>
  <c r="B29" i="9"/>
  <c r="C28" i="9"/>
  <c r="B28" i="9"/>
  <c r="C26" i="9"/>
  <c r="B26" i="9"/>
  <c r="C25" i="9"/>
  <c r="B25" i="9"/>
  <c r="C24" i="9"/>
  <c r="B24" i="9"/>
  <c r="C21" i="9"/>
  <c r="B21" i="9"/>
  <c r="C19" i="9"/>
  <c r="B19" i="9"/>
  <c r="C18" i="9"/>
  <c r="B18" i="9"/>
  <c r="Y17" i="9"/>
  <c r="X17" i="9"/>
  <c r="G11" i="9"/>
  <c r="D11" i="9"/>
  <c r="B11" i="9"/>
  <c r="G10" i="9"/>
  <c r="D10" i="9"/>
  <c r="B10" i="9"/>
  <c r="G8" i="9"/>
  <c r="G7" i="9"/>
  <c r="B7" i="9"/>
  <c r="G6" i="9"/>
  <c r="B6" i="9"/>
  <c r="G5" i="9"/>
  <c r="B5" i="9"/>
  <c r="J55" i="17" l="1"/>
  <c r="K57" i="17" s="1"/>
  <c r="W18" i="9"/>
  <c r="W19" i="9"/>
  <c r="W20" i="9"/>
  <c r="W21" i="9"/>
  <c r="W22" i="9"/>
  <c r="W23" i="9"/>
  <c r="W24" i="9"/>
  <c r="W25" i="9"/>
  <c r="W26" i="9"/>
  <c r="W27" i="9"/>
  <c r="W28" i="9"/>
  <c r="W29" i="9"/>
  <c r="W30" i="9"/>
  <c r="W31" i="9"/>
  <c r="W32" i="9"/>
  <c r="W33" i="9"/>
  <c r="W34" i="9"/>
  <c r="W35" i="9"/>
  <c r="W36" i="9"/>
  <c r="P22" i="9" l="1"/>
  <c r="R22" i="9" s="1"/>
  <c r="Q22" i="9" s="1"/>
  <c r="R43" i="9"/>
  <c r="P21" i="9"/>
  <c r="W17" i="9"/>
  <c r="N10" i="9"/>
  <c r="L7" i="9"/>
  <c r="L5" i="9"/>
  <c r="Q11" i="9"/>
  <c r="L10" i="9"/>
  <c r="P37" i="9"/>
  <c r="R37" i="9" s="1"/>
  <c r="P34" i="9"/>
  <c r="R34" i="9" s="1"/>
  <c r="Q34" i="9" s="1"/>
  <c r="P33" i="9"/>
  <c r="R33" i="9" s="1"/>
  <c r="Q33" i="9" s="1"/>
  <c r="P32" i="9"/>
  <c r="R32" i="9" s="1"/>
  <c r="P29" i="9"/>
  <c r="R29" i="9" s="1"/>
  <c r="Q29" i="9" s="1"/>
  <c r="N11" i="9"/>
  <c r="P19" i="9"/>
  <c r="P18" i="9"/>
  <c r="R18" i="9" s="1"/>
  <c r="L11" i="9"/>
  <c r="Q7" i="9"/>
  <c r="L6" i="9"/>
  <c r="P26" i="9"/>
  <c r="R26" i="9" s="1"/>
  <c r="Q26" i="9" s="1"/>
  <c r="P25" i="9"/>
  <c r="R25" i="9" s="1"/>
  <c r="Q25" i="9" s="1"/>
  <c r="P24" i="9"/>
  <c r="R24" i="9" s="1"/>
  <c r="Q24" i="9" s="1"/>
  <c r="L8" i="9"/>
  <c r="Q10" i="9"/>
  <c r="Q8" i="9"/>
  <c r="Q5" i="9"/>
  <c r="J17" i="2"/>
  <c r="J39" i="2"/>
  <c r="J38" i="2"/>
  <c r="D6" i="2"/>
  <c r="J41" i="2" l="1"/>
  <c r="P28" i="9"/>
  <c r="R28" i="9" s="1"/>
  <c r="Q28" i="9" s="1"/>
  <c r="J20" i="2"/>
  <c r="R21" i="9"/>
  <c r="Q21" i="9" s="1"/>
  <c r="Q18" i="9"/>
  <c r="Q37" i="9"/>
  <c r="R19" i="9"/>
  <c r="Q19" i="9" s="1"/>
  <c r="Q32" i="9"/>
  <c r="Q35" i="9" s="1"/>
  <c r="R35" i="9"/>
  <c r="J18" i="2"/>
  <c r="J33" i="2" s="1"/>
  <c r="J45" i="2" l="1"/>
  <c r="Q30" i="9"/>
  <c r="R30" i="9"/>
  <c r="J54" i="2" l="1"/>
  <c r="K56" i="2" s="1"/>
  <c r="P38" i="9"/>
  <c r="R38" i="9" l="1"/>
  <c r="R44" i="9" l="1"/>
  <c r="R42" i="9"/>
  <c r="Q38" i="9"/>
  <c r="Q39" i="9" s="1"/>
  <c r="Q41" i="9" s="1"/>
  <c r="R39" i="9"/>
  <c r="R41" i="9" s="1"/>
  <c r="U4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tc={C35772CE-565C-40C6-AB0B-709244E3E02D}</author>
  </authors>
  <commentList>
    <comment ref="A1" authorId="0" shapeId="0" xr:uid="{C35772CE-565C-40C6-AB0B-709244E3E02D}">
      <text>
        <t xml:space="preserve">[Threaded comment]
Your version of Excel allows you to read this threaded comment; however, any edits to it will get removed if the file is opened in a newer version of Excel. Learn more: https://go.microsoft.com/fwlink/?linkid=870924
Comment:
    No edits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tc={2586AEFC-EF88-4A71-803C-5004D08541EE}</author>
  </authors>
  <commentList>
    <comment ref="H2" authorId="0" shapeId="0" xr:uid="{2586AEFC-EF88-4A71-803C-5004D08541EE}">
      <text>
        <t>[Threaded comment]
Your version of Excel allows you to read this threaded comment; however, any edits to it will get removed if the file is opened in a newer version of Excel. Learn more: https://go.microsoft.com/fwlink/?linkid=870924
Comment:
    Formula for scores: ((Performance Points Earned (Column H) / Performance Points Available (Column G) * 100) + (Bonus Points Earned (Column I))) = Final Score (Column J)</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tc={1AC80250-06B3-4482-9779-478860DD9F16}</author>
  </authors>
  <commentList>
    <comment ref="D1" authorId="0" shapeId="0" xr:uid="{1AC80250-06B3-4482-9779-478860DD9F16}">
      <text>
        <t>[Threaded comment]
Your version of Excel allows you to read this threaded comment; however, any edits to it will get removed if the file is opened in a newer version of Excel. Learn more: https://go.microsoft.com/fwlink/?linkid=870924
Comment:
    Updated project names to match Sage; projects in red text need to be removed (combined with other projects)</t>
      </text>
    </comment>
  </commentList>
</comments>
</file>

<file path=xl/sharedStrings.xml><?xml version="1.0" encoding="utf-8"?>
<sst xmlns="http://schemas.openxmlformats.org/spreadsheetml/2006/main" count="1404" uniqueCount="655">
  <si>
    <t xml:space="preserve"> Evaluation Criteria</t>
  </si>
  <si>
    <t>Data Source</t>
  </si>
  <si>
    <t>2017 Points</t>
  </si>
  <si>
    <t xml:space="preserve">Performance </t>
  </si>
  <si>
    <t>PSH/SH</t>
  </si>
  <si>
    <t>RRH</t>
  </si>
  <si>
    <t>PSH</t>
  </si>
  <si>
    <t xml:space="preserve">SH </t>
  </si>
  <si>
    <t>ALL</t>
  </si>
  <si>
    <t>Average</t>
  </si>
  <si>
    <t>Actual</t>
  </si>
  <si>
    <t>Efficient Use of Resources</t>
  </si>
  <si>
    <t>DHS Report</t>
  </si>
  <si>
    <t>HMIS APR</t>
  </si>
  <si>
    <t>not avail</t>
  </si>
  <si>
    <t>Eligibility</t>
  </si>
  <si>
    <t xml:space="preserve">At least one Adult Participant  per household with previous residence that indicates qualified literal homelessness </t>
  </si>
  <si>
    <t>N/A</t>
  </si>
  <si>
    <t>Participant Income/Resources</t>
  </si>
  <si>
    <t xml:space="preserve">Percentage of all adult participants who  increased EARNED INCOME from entry to exit/follow-up (leavers and stayers) </t>
  </si>
  <si>
    <t>Percentage of all adult participants who  increased OTHER INCOME (NON-EARNED) from entry to exit/follow-up (leavers and stayers)</t>
  </si>
  <si>
    <t>All adult participants with NON-CASH benefits (health insurance, food stamps, etc)</t>
  </si>
  <si>
    <t>Length of Stay</t>
  </si>
  <si>
    <t>RRH Only: Length of Stay for all participants is 6 months or less</t>
  </si>
  <si>
    <t>Avg</t>
  </si>
  <si>
    <t>Housing Stability</t>
  </si>
  <si>
    <t>Less than or equal to 10%</t>
  </si>
  <si>
    <t>Compliance</t>
  </si>
  <si>
    <t xml:space="preserve">Match equals or exceeds statutory requirement </t>
  </si>
  <si>
    <t>HUD APR</t>
  </si>
  <si>
    <t>25% excluding leasing</t>
  </si>
  <si>
    <t>Enviromental Review Documentation within 5 years</t>
  </si>
  <si>
    <t>Provider Report</t>
  </si>
  <si>
    <t>Less than or equal to 5 years</t>
  </si>
  <si>
    <t xml:space="preserve">HUD Drawdown within 90 days </t>
  </si>
  <si>
    <t>Less than or equal to 90 days</t>
  </si>
  <si>
    <t>Bonus Points</t>
  </si>
  <si>
    <t>Newly admitted households have $0 cash income</t>
  </si>
  <si>
    <t>More than or equal to 50%</t>
  </si>
  <si>
    <t>Project exceeds performance standards</t>
  </si>
  <si>
    <t>Evaluation Report</t>
  </si>
  <si>
    <t>More than or equal to 75% of standards</t>
  </si>
  <si>
    <t>Total</t>
  </si>
  <si>
    <t>&lt;-- Drop down menu</t>
  </si>
  <si>
    <t>Agency Name:</t>
  </si>
  <si>
    <t>Component Type:</t>
  </si>
  <si>
    <t>Service Provider:</t>
  </si>
  <si>
    <t>Start Date:</t>
  </si>
  <si>
    <t>Program Name:</t>
  </si>
  <si>
    <t xml:space="preserve">End Date:  </t>
  </si>
  <si>
    <t xml:space="preserve">Grant Number:  </t>
  </si>
  <si>
    <t>Total Number of Participants:</t>
  </si>
  <si>
    <t>Households:</t>
  </si>
  <si>
    <t>Total Number of Adults:</t>
  </si>
  <si>
    <t>Total Number of Leavers:</t>
  </si>
  <si>
    <t>Adult Leavers:</t>
  </si>
  <si>
    <t>Adult Stayers:</t>
  </si>
  <si>
    <t>2017 Benchmark/ Standard</t>
  </si>
  <si>
    <t>Actual Performance</t>
  </si>
  <si>
    <t>Available Points</t>
  </si>
  <si>
    <t>Awarded Points</t>
  </si>
  <si>
    <t>PERFORMANCE</t>
  </si>
  <si>
    <t>VLookupCode</t>
  </si>
  <si>
    <t>Program Name</t>
  </si>
  <si>
    <t>At least one adult participant per household with previous residence that indicates qualified literal homelessness</t>
  </si>
  <si>
    <t>Percentage of all adult participants who increased EARNED INCOME from entry to exit/follow-up (leavers and stayers)</t>
  </si>
  <si>
    <t>Percentage of all adult participants who increased OTHER INCOME (NON-EARNED) from entry to exit/follow-up (leavers and stayers)</t>
  </si>
  <si>
    <t>All adult participants with NON-CASH benefits (health insurance, food stamps, etc.)</t>
  </si>
  <si>
    <t>Performance total score</t>
  </si>
  <si>
    <t>COMPLIANCE</t>
  </si>
  <si>
    <t>HUD Drawdowns</t>
  </si>
  <si>
    <t>Compliance total score</t>
  </si>
  <si>
    <t>SCORING SUMMARY</t>
  </si>
  <si>
    <t>formula = (Points Awarded / Points Available for Scoring) * 100</t>
  </si>
  <si>
    <t>HUD changes performance standards periodically, standards below represent most current standards est by HUD</t>
  </si>
  <si>
    <t>HUD Standard:  100%</t>
  </si>
  <si>
    <t>HUD Standard:  20%</t>
  </si>
  <si>
    <t>HUD Standard:  80%</t>
  </si>
  <si>
    <t>HUD Standard:  25%</t>
  </si>
  <si>
    <t>HUD Standard: within 5 years</t>
  </si>
  <si>
    <t>HUD Standard:  Quarterly</t>
  </si>
  <si>
    <t>Project Name</t>
  </si>
  <si>
    <t>Total Number of Persons Served</t>
  </si>
  <si>
    <t>Total Households</t>
  </si>
  <si>
    <t>CHECK</t>
  </si>
  <si>
    <t>Total Score</t>
  </si>
  <si>
    <t>Service Provider</t>
  </si>
  <si>
    <t xml:space="preserve">Occupancy based on quarterly unit utilization </t>
  </si>
  <si>
    <r>
      <t>Percentage of all  leavers who exited to shelter, streets or unknown</t>
    </r>
    <r>
      <rPr>
        <b/>
        <vertAlign val="superscript"/>
        <sz val="14"/>
        <color rgb="FF000000"/>
        <rFont val="Calibri"/>
        <family val="2"/>
      </rPr>
      <t>1</t>
    </r>
  </si>
  <si>
    <t>Spending on last year's HUD grant</t>
  </si>
  <si>
    <r>
      <t>PSH/SH Only: Percentage of all participants</t>
    </r>
    <r>
      <rPr>
        <b/>
        <sz val="14"/>
        <color rgb="FFFF0000"/>
        <rFont val="Calibri"/>
        <family val="2"/>
      </rPr>
      <t xml:space="preserve"> </t>
    </r>
    <r>
      <rPr>
        <b/>
        <sz val="14"/>
        <color rgb="FF000000"/>
        <rFont val="Calibri"/>
        <family val="2"/>
      </rPr>
      <t>who remain in PSH or exited to permanent housing</t>
    </r>
    <r>
      <rPr>
        <b/>
        <vertAlign val="superscript"/>
        <sz val="14"/>
        <color rgb="FF000000"/>
        <rFont val="Calibri"/>
        <family val="2"/>
      </rPr>
      <t>1</t>
    </r>
  </si>
  <si>
    <t>BONUS POINTS</t>
  </si>
  <si>
    <r>
      <rPr>
        <b/>
        <vertAlign val="superscript"/>
        <sz val="12"/>
        <color rgb="FF000000"/>
        <rFont val="Calibri"/>
        <family val="2"/>
      </rPr>
      <t>1</t>
    </r>
    <r>
      <rPr>
        <b/>
        <sz val="12"/>
        <color rgb="FF000000"/>
        <rFont val="Calibri"/>
        <family val="2"/>
      </rPr>
      <t xml:space="preserve"> Excludes deceased partipants</t>
    </r>
  </si>
  <si>
    <t>Arlington County CoC 2017 Individual Program Evaluation Report</t>
  </si>
  <si>
    <t>Bonus points total score</t>
  </si>
  <si>
    <t>SH</t>
  </si>
  <si>
    <t>Yes</t>
  </si>
  <si>
    <t>No</t>
  </si>
  <si>
    <t>Subtotal Score, Pro-rated to 100</t>
  </si>
  <si>
    <t>Subtotal Score</t>
  </si>
  <si>
    <t>Lateness Penalty</t>
  </si>
  <si>
    <t>Standard percentage was changed during meeting</t>
  </si>
  <si>
    <t>2017VA0093L3G001609</t>
  </si>
  <si>
    <t>PSH/SH Only: At least one participant per household has a disability</t>
  </si>
  <si>
    <t xml:space="preserve">PSH/SH Only: At least one participant per household has a disability </t>
  </si>
  <si>
    <t>PWA 2019 Project Evaluation Standards</t>
  </si>
  <si>
    <t>2018 Benchmark / Standard</t>
  </si>
  <si>
    <t>2017 Actual Performance</t>
  </si>
  <si>
    <t>Spending on last year's HUD grant (GRANT OPERATING YEAR)</t>
  </si>
  <si>
    <t xml:space="preserve">Occupancy  </t>
  </si>
  <si>
    <r>
      <t>PSH/SH Only: Percentage of all participants</t>
    </r>
    <r>
      <rPr>
        <b/>
        <sz val="11"/>
        <color rgb="FFFF0000"/>
        <rFont val="Calibri"/>
        <family val="2"/>
      </rPr>
      <t xml:space="preserve"> </t>
    </r>
    <r>
      <rPr>
        <b/>
        <sz val="11"/>
        <color rgb="FF000000"/>
        <rFont val="Calibri"/>
        <family val="2"/>
      </rPr>
      <t xml:space="preserve">who remain in PSH/SH or exited to permanent housing </t>
    </r>
    <r>
      <rPr>
        <b/>
        <vertAlign val="superscript"/>
        <sz val="11"/>
        <color rgb="FF000000"/>
        <rFont val="Calibri"/>
        <family val="2"/>
      </rPr>
      <t>1</t>
    </r>
  </si>
  <si>
    <r>
      <t xml:space="preserve">RRH: Percentage of all leavers who exited to Permanent Housing </t>
    </r>
    <r>
      <rPr>
        <b/>
        <vertAlign val="superscript"/>
        <sz val="11"/>
        <color rgb="FF000000"/>
        <rFont val="Calibri"/>
        <family val="2"/>
      </rPr>
      <t>1</t>
    </r>
  </si>
  <si>
    <r>
      <t xml:space="preserve">Percentage of all  leavers who exited to shelter, streets or unknown </t>
    </r>
    <r>
      <rPr>
        <b/>
        <vertAlign val="superscript"/>
        <sz val="11"/>
        <color rgb="FF000000"/>
        <rFont val="Calibri"/>
        <family val="2"/>
      </rPr>
      <t>1</t>
    </r>
  </si>
  <si>
    <r>
      <rPr>
        <b/>
        <vertAlign val="superscript"/>
        <sz val="11"/>
        <color rgb="FF000000"/>
        <rFont val="Calibri"/>
        <family val="2"/>
      </rPr>
      <t>1</t>
    </r>
    <r>
      <rPr>
        <b/>
        <sz val="11"/>
        <color rgb="FF000000"/>
        <rFont val="Calibri"/>
        <family val="2"/>
      </rPr>
      <t xml:space="preserve"> Excludes deceased participants</t>
    </r>
  </si>
  <si>
    <t>eLOCCS report</t>
  </si>
  <si>
    <t>Performance</t>
  </si>
  <si>
    <t>Evaluation Criteria</t>
  </si>
  <si>
    <t>Data
Source</t>
  </si>
  <si>
    <t>0.0% - 84.9% = score of 0;
85.0% - 94.9% = score of 5;
95.0% - 100.0% = score of 10</t>
  </si>
  <si>
    <t>0.0% - 89.9% = score of 0;
90.0% - 94.9% = score of 5;
95.0% - 100.0% = score of 10</t>
  </si>
  <si>
    <t>Match equals or exceeds statutory requirement</t>
  </si>
  <si>
    <t>No = Score of 0;
Yes = Score of 5;
HUD Standard: Quarterly</t>
  </si>
  <si>
    <t>RRH: Percentage of all leavers who exited to Permanent Housing</t>
  </si>
  <si>
    <t>HUD Drawdowns Quarterly</t>
  </si>
  <si>
    <t>Minimum quarterly draws</t>
  </si>
  <si>
    <t>RRH Only: Percent of participants whose length of stay is 6 months or less</t>
  </si>
  <si>
    <t>Calculation</t>
  </si>
  <si>
    <t># Total Households:January:Q8b: Point-in-Time Count of Households on the Last Wednesday</t>
  </si>
  <si>
    <t># Total Households:April:Q8b: Point-in-Time Count of Households on the Last Wednesday</t>
  </si>
  <si>
    <t># Total Households:July:Q8b: Point-in-Time Count of Households on the Last Wednesday</t>
  </si>
  <si>
    <t># Total Households:October:Q8b: Point-in-Time Count of Households on the Last Wednesday</t>
  </si>
  <si>
    <t># Total:Total:Q15: Living Situation at Project Start</t>
  </si>
  <si>
    <t>Grant #</t>
  </si>
  <si>
    <t>Project Component</t>
  </si>
  <si>
    <t>Project Type</t>
  </si>
  <si>
    <t>Agency Name</t>
  </si>
  <si>
    <t>NOTES</t>
  </si>
  <si>
    <t>Performance Measure: Adults who Gained or Increased Income from Start to Annual Assessment:# Adults w/ Earned Income:Q19a1: Client Cash Income Change - Income Source - by Start and Latest Status</t>
  </si>
  <si>
    <t>Performance Measure: Adults who Gained or Increased Income from Start to Annual Assessment:# Adults w/ Other Income:Q19a1: Client Cash Income Change - Income Source - by Start and Latest Status</t>
  </si>
  <si>
    <t>Performance Measure: Adults who Gained or Increased Income from Start to Exit:# Adults w/ Earned Income:Q19a2: Client Cash Income Change - Income Source - by Start and Exit</t>
  </si>
  <si>
    <t>Performance Measure: Adults who Gained or Increased Income from Start to Exit:# Adults w/ Other Income:Q19a2: Client Cash Income Change - Income Source - by Start and Exit</t>
  </si>
  <si>
    <t># Stayers:1+ Source(s):Q20b: Number of Non-Cash Benefit Sources</t>
  </si>
  <si>
    <t># Leavers:1+ Source(s):Q20b: Number of Non-Cash Benefit Sources</t>
  </si>
  <si>
    <t># Total:Subtotal Homeless Situations:Q15: Living Situation at Project Start</t>
  </si>
  <si>
    <t>Q18|Total Adults|Number of Adults at Annual Assessment (Stayer)</t>
  </si>
  <si>
    <t>Q18|Total Adults|Number of Adults at Exit (Leavers)</t>
  </si>
  <si>
    <t>Q05a: Report Validations Table</t>
  </si>
  <si>
    <t>Number of Adults (Age 18 or Over)</t>
  </si>
  <si>
    <t>Number of Children (Under Age 18)</t>
  </si>
  <si>
    <t>Number of Persons with Unknown Age</t>
  </si>
  <si>
    <t>Number of Leavers</t>
  </si>
  <si>
    <t>Number of Adult Leavers</t>
  </si>
  <si>
    <t>Number of Adult and Head of Household Leavers</t>
  </si>
  <si>
    <t>Number of Stayers</t>
  </si>
  <si>
    <t>Number of Adult Stayers</t>
  </si>
  <si>
    <t>Number of Veterans</t>
  </si>
  <si>
    <t>Number of Chronically Homeless Persons</t>
  </si>
  <si>
    <t>Number of Youth Under Age 25</t>
  </si>
  <si>
    <t>Number of Parenting Youth Under Age 25 with Children</t>
  </si>
  <si>
    <t>Number of Adult Heads of Household</t>
  </si>
  <si>
    <t>Number of Child and Unknown-Age Heads of Household</t>
  </si>
  <si>
    <t>Heads of Households and Adult Stayers in the Project 365 Days or More</t>
  </si>
  <si>
    <t>Without Children</t>
  </si>
  <si>
    <t>With Children and Adults</t>
  </si>
  <si>
    <t>With Only Children</t>
  </si>
  <si>
    <t>Unknown Household Type</t>
  </si>
  <si>
    <t>January</t>
  </si>
  <si>
    <t>April</t>
  </si>
  <si>
    <t>July</t>
  </si>
  <si>
    <t>October</t>
  </si>
  <si>
    <t>Data Not Collected</t>
  </si>
  <si>
    <t>Q15: Living Situation</t>
  </si>
  <si>
    <t>Homeless Situations</t>
  </si>
  <si>
    <t>Transitional housing for homeless persons (including homeless youth)</t>
  </si>
  <si>
    <t>Safe Haven</t>
  </si>
  <si>
    <t>Host Home (non-crisis)</t>
  </si>
  <si>
    <t>Subtotal</t>
  </si>
  <si>
    <t>Psychiatric hospital or other psychiatric facility</t>
  </si>
  <si>
    <t>Substance abuse treatment facility or detox center</t>
  </si>
  <si>
    <t>Hospital or other residential non-psychiatric medical facility</t>
  </si>
  <si>
    <t>Foster care home or foster care group home</t>
  </si>
  <si>
    <t>Long-term care facility or nursing home</t>
  </si>
  <si>
    <t>Residential project or halfway house with no homeless criteria</t>
  </si>
  <si>
    <t>Owned by client, no ongoing housing subsidy</t>
  </si>
  <si>
    <t>Owned by client, with ongoing housing subsidy</t>
  </si>
  <si>
    <t>Rental by client, no ongoing housing subsidy</t>
  </si>
  <si>
    <t>Hotel or motel paid for without emergency shelter voucher</t>
  </si>
  <si>
    <t>Q18: Client Cash Income Category - Earned/Other Income Category - by Start and Annual Assessment/Exit Status</t>
  </si>
  <si>
    <t>Number of Adults at Start</t>
  </si>
  <si>
    <t>Number of Adults at Annual Assessment (Stayers)</t>
  </si>
  <si>
    <t>Number of Adults at Exit (Leavers)</t>
  </si>
  <si>
    <t>Adults with Only Earned Income (i.e., Employment Income)</t>
  </si>
  <si>
    <t>Adults with Only Other Income</t>
  </si>
  <si>
    <t>Adults with Both Earned and Other Income</t>
  </si>
  <si>
    <t>Adults with No Income</t>
  </si>
  <si>
    <t>Adults with Missing Income Information</t>
  </si>
  <si>
    <t>Number of Adult Stayers Not Yet Required to Have an Annual Assessment</t>
  </si>
  <si>
    <t>Number of Adult Stayers Without Required Annual Assessment</t>
  </si>
  <si>
    <t>Total Adults</t>
  </si>
  <si>
    <t>1 or More Source of Income</t>
  </si>
  <si>
    <t>Adults with Income Information at Start and Annual Assessment/Exit</t>
  </si>
  <si>
    <t>Q19a1: Client Cash Income Change - Income Source - by Start and Latest Status</t>
  </si>
  <si>
    <t>Had Income Category at Start and Did Not Have it at Annual Assessment</t>
  </si>
  <si>
    <t>Retained Income Category But Had Less $ at Annual Assessment Than at Start</t>
  </si>
  <si>
    <t>Retained Income Category and Same $ at Annual Assessment as at Start</t>
  </si>
  <si>
    <t>Retained Income Category and Increased $ at Annual Assessment</t>
  </si>
  <si>
    <t>Did Not have the Income Category at Start and Gained the Income Category at Annual Assessment</t>
  </si>
  <si>
    <t>Did Not have the Income Category at Start or at Annual Assessment</t>
  </si>
  <si>
    <t>Total Adults (Including Those with No Income)</t>
  </si>
  <si>
    <t>Perfomance Measure: Adults Who Gained or Increased Income from Start to Annual Assessment; Average Gain</t>
  </si>
  <si>
    <t>Performance measure: Percent of persons who accomplished this measure</t>
  </si>
  <si>
    <t>Number of Adults with Earned Income (i.e., Employment Income)</t>
  </si>
  <si>
    <t>Average Change in Earned Income</t>
  </si>
  <si>
    <t>Number of Adults with Other Income</t>
  </si>
  <si>
    <t>Average Change in Other Income</t>
  </si>
  <si>
    <t>Number of Adults with Any Income (i.e., Total Income)</t>
  </si>
  <si>
    <t>Average Change in Overall Income</t>
  </si>
  <si>
    <t>Q19a2: Client Cash Income Change - Income Source - by Start and Exit</t>
  </si>
  <si>
    <t>Had Income Category at Start and Did Not Have it at Exit</t>
  </si>
  <si>
    <t>Retained Income Category but Had Less $ at Exit than at Start</t>
  </si>
  <si>
    <t>Retained Income Category and Same $ at Exit as at Start</t>
  </si>
  <si>
    <t>Retained Income Category and Increased $ at Exit</t>
  </si>
  <si>
    <t>Did Not have the Income Category at Start and Gained the Income Category at Exit</t>
  </si>
  <si>
    <t>Did Not have the Income Category at Start or at Exit</t>
  </si>
  <si>
    <t>Performance Measure: Adults Who Gained or Increased Income from Start to Exit; Average Gain</t>
  </si>
  <si>
    <t>Q20b: Number of Non-Cash Benefit Sources</t>
  </si>
  <si>
    <t>Benefit at Start</t>
  </si>
  <si>
    <t>Benefit at Latest Annual Assessment for Stayers</t>
  </si>
  <si>
    <t>Benefit at Exit for Leavers</t>
  </si>
  <si>
    <t>No sources</t>
  </si>
  <si>
    <t>1+ Source(s)</t>
  </si>
  <si>
    <t>Other</t>
  </si>
  <si>
    <t>Q22a1: Length of Participation – CoC Projects</t>
  </si>
  <si>
    <t>Leavers</t>
  </si>
  <si>
    <t>Stayers</t>
  </si>
  <si>
    <t>30 Days or Less</t>
  </si>
  <si>
    <t>31 to 60 Days</t>
  </si>
  <si>
    <t>61 to 90 Days</t>
  </si>
  <si>
    <t>91 to 180 Days</t>
  </si>
  <si>
    <t>181 to 365 Days</t>
  </si>
  <si>
    <t>366 to 730 Days (1-2 yrs)</t>
  </si>
  <si>
    <t>731 to 1,095 Days (2-3 yrs)</t>
  </si>
  <si>
    <t>1096 to 1,460 Days (3-4 yrs)</t>
  </si>
  <si>
    <t>1461 to 1,825 Days (4-5 yrs)</t>
  </si>
  <si>
    <t>More than 1,825 Days (&gt;5 yrs)</t>
  </si>
  <si>
    <t>Q23c: Exit Destination</t>
  </si>
  <si>
    <t>Moved from one HOPWA funded project to HOPWA PH</t>
  </si>
  <si>
    <t>Staying or living with family, permanent tenure</t>
  </si>
  <si>
    <t>Staying or living with friends, permanent tenure</t>
  </si>
  <si>
    <t>Moved from one HOPWA funded project to HOPWA TH</t>
  </si>
  <si>
    <t>Staying or living with family, temporary tenure (e.g. room, apartment or house)</t>
  </si>
  <si>
    <t>Staying or living with friends, temporary tenure (e.g. room, apartment or house)</t>
  </si>
  <si>
    <t>Place not meant for habitation (e.g., a vehicle, an abandoned building, bus/train/subway station/airport or anywhere outside)</t>
  </si>
  <si>
    <t>Jail, prison, or juvenile detention facility</t>
  </si>
  <si>
    <t>Deceased</t>
  </si>
  <si>
    <t>Total persons exiting to positive housing destinations</t>
  </si>
  <si>
    <t>Q18|Number of adult stayers not yet required to have an annual assessment|Number of Adults at Annual Assessment (Stayer)</t>
  </si>
  <si>
    <t># Stayers:Total:Q20b: Number of Non-Cash Benefit Sources</t>
  </si>
  <si>
    <t># Leavers:Total:Q20b: Number of Non-Cash Benefit Sources</t>
  </si>
  <si>
    <t>Grant # on eLOCCS Docs Please insert full grant number (for ex., CT0000LIE011801)</t>
  </si>
  <si>
    <t>Total #:30 days or less:Q22a1: Length of Participation- CoC Projects</t>
  </si>
  <si>
    <t>Total #:31 to 60 days:Q22a1: Length of Participation- CoC Projects</t>
  </si>
  <si>
    <t>Total #:61 to 90 days:Q22a1: Length of Participation- CoC Projects</t>
  </si>
  <si>
    <t>Total #:91 to 180 days:Q22a1: Length of Participation- CoC Projects</t>
  </si>
  <si>
    <t>Total #:Total:Q22a1: Length of Participation- CoC Projects</t>
  </si>
  <si>
    <t># Stayers:Total:Q22a1: Length of Participation- CoC projects</t>
  </si>
  <si>
    <t># Total:Emergency Shelter:Q23c </t>
  </si>
  <si>
    <t># Total:Place not meant for human habitation:Q23c</t>
  </si>
  <si>
    <t># Total:Data Not Collected:Q23c</t>
  </si>
  <si>
    <t># Total:Total:Q23c</t>
  </si>
  <si>
    <t># Total:Total persons exiting to positive housing destinations:Q23c</t>
  </si>
  <si>
    <t># Total:Total persons whose destinations excluded them from the calculation:Q23c</t>
  </si>
  <si>
    <t>Utilization Rate</t>
  </si>
  <si>
    <t>Notes</t>
  </si>
  <si>
    <t>Spending</t>
  </si>
  <si>
    <t>Income Growth: Earned Income</t>
  </si>
  <si>
    <t>Income Growth: Other Income</t>
  </si>
  <si>
    <t>Non-Cash Benefits</t>
  </si>
  <si>
    <t>RRH: Length of Stay</t>
  </si>
  <si>
    <t>Exit to PH Destination/Retention -PSH</t>
  </si>
  <si>
    <t xml:space="preserve">Exit to PH Destination - RRH </t>
  </si>
  <si>
    <t>Exit to shelter, street, or unknown</t>
  </si>
  <si>
    <t>Points</t>
  </si>
  <si>
    <t>% of Match (based on last HUD submitted APR)</t>
  </si>
  <si>
    <t>DV dedicated project? Yes or No</t>
  </si>
  <si>
    <t>PH</t>
  </si>
  <si>
    <t>TEST</t>
  </si>
  <si>
    <t># Total: Q7a For PSH and RRH - the total persons served who moved into housing</t>
  </si>
  <si>
    <t># Total: Q8a For PSH and RRH - the total persons served who moved into housing (households)</t>
  </si>
  <si>
    <t>Project Type:</t>
  </si>
  <si>
    <t>Spending on last fully completed HUD grant year: % of grant funds expended</t>
  </si>
  <si>
    <t>Occupancy/Unit Utilization: Average utilization rate of project (using project utilization each quarter, as reported on APR)</t>
  </si>
  <si>
    <t>PSH Only: Percentage of all participants who remain in PSH or exited to permanent housing*</t>
  </si>
  <si>
    <t>For PSH &amp; RRH – the total households served who moved into housing</t>
  </si>
  <si>
    <t>Adults</t>
  </si>
  <si>
    <t>Children</t>
  </si>
  <si>
    <t xml:space="preserve">Total </t>
  </si>
  <si>
    <t>For PSH &amp; RRH – the total perons served who moved into housing</t>
  </si>
  <si>
    <t xml:space="preserve">Do not delete the "vlookup - do not delete" tab. This tab is necessary to generate the individual reports. </t>
  </si>
  <si>
    <t>Instructions for using the scoring calculator:</t>
  </si>
  <si>
    <t>0.0% - 99.9% = score of 0;
100.0% = score of 10; 
HUD Standard: 100%</t>
  </si>
  <si>
    <t>RRH: Percentage of all leavers who exited to Permanent Housing*</t>
  </si>
  <si>
    <r>
      <rPr>
        <u/>
        <sz val="11"/>
        <color theme="1"/>
        <rFont val="Calibri"/>
        <family val="2"/>
        <scheme val="minor"/>
      </rPr>
      <t>Data Source:</t>
    </r>
    <r>
      <rPr>
        <sz val="11"/>
        <color theme="1"/>
        <rFont val="Calibri"/>
        <family val="2"/>
        <scheme val="minor"/>
      </rPr>
      <t xml:space="preserve"> APR Q23c: Exit Destination 
</t>
    </r>
    <r>
      <rPr>
        <u/>
        <sz val="11"/>
        <color theme="1"/>
        <rFont val="Calibri"/>
        <family val="2"/>
        <scheme val="minor"/>
      </rPr>
      <t>Calculation</t>
    </r>
    <r>
      <rPr>
        <sz val="11"/>
        <color theme="1"/>
        <rFont val="Calibri"/>
        <family val="2"/>
        <scheme val="minor"/>
      </rPr>
      <t>: Percentage – Total</t>
    </r>
  </si>
  <si>
    <t>TEST AGENCY</t>
  </si>
  <si>
    <t xml:space="preserve">Total Households Served: </t>
  </si>
  <si>
    <t xml:space="preserve"># Total:Chronically Homeless:Q26a </t>
  </si>
  <si>
    <t xml:space="preserve"># Total:Total:Q26a </t>
  </si>
  <si>
    <t># Total: Total Households:Q8a: Number of Households Served</t>
  </si>
  <si>
    <t xml:space="preserve">Total Persons Served: </t>
  </si>
  <si>
    <t>Total Persons Served Who Moved Into Housing:</t>
  </si>
  <si>
    <t>Total Households Served Who Moved Into Housing:</t>
  </si>
  <si>
    <t>Grant Number:</t>
  </si>
  <si>
    <t xml:space="preserve"> </t>
  </si>
  <si>
    <t>Q26a: Chronic Homeless Status - Number of Households w/at least one or more CH person</t>
  </si>
  <si>
    <t xml:space="preserve">Chronically Homeless </t>
  </si>
  <si>
    <t xml:space="preserve">Not Chronically Homeless </t>
  </si>
  <si>
    <t>Less than or equal to 5%</t>
  </si>
  <si>
    <t>Rapid Return To Permanent Housing</t>
  </si>
  <si>
    <t>Average length of time to housing (time between project start date and housing move in date)</t>
  </si>
  <si>
    <t>Total #: Average length of time to housing: Q22c: Length of Time between Project Start Date and Housing Move-in Date</t>
  </si>
  <si>
    <t>Q22c: Length of Time between Project Start Date and Housing Move-in Date</t>
  </si>
  <si>
    <t/>
  </si>
  <si>
    <t>With Children And Adults</t>
  </si>
  <si>
    <t>Unknown Type</t>
  </si>
  <si>
    <t>7 days or less</t>
  </si>
  <si>
    <t>8 to 14 days</t>
  </si>
  <si>
    <t>15 to 21 days</t>
  </si>
  <si>
    <t>22 to 30 days</t>
  </si>
  <si>
    <t>31 to 60 days</t>
  </si>
  <si>
    <t>61 to 180 days</t>
  </si>
  <si>
    <t>181 to 365 days</t>
  </si>
  <si>
    <t>366 to 730 days (1-2 Yrs)</t>
  </si>
  <si>
    <t>Total (persons moved into housing)</t>
  </si>
  <si>
    <t>Average length of time to housing</t>
  </si>
  <si>
    <t>Persons who were exited without move-in</t>
  </si>
  <si>
    <t>1. HMIS APR (Q8b)
2. e-snaps report</t>
  </si>
  <si>
    <t>HMIS APR (Q15)</t>
  </si>
  <si>
    <t>HMIS APR (Q26a)</t>
  </si>
  <si>
    <t>HMIS APR (Q22c)</t>
  </si>
  <si>
    <t>Tenant-Based:
&lt;=30 days
Site-Based: 
&lt;=14 days</t>
  </si>
  <si>
    <t>HMIS APR (Q18, Q19a1, Q19a2)</t>
  </si>
  <si>
    <t>HMIS APR (Q18, Q20b)</t>
  </si>
  <si>
    <t>HMIS APR (Q22a1)</t>
  </si>
  <si>
    <t>HMIS APR (Q22a1, Q23c)</t>
  </si>
  <si>
    <t>HMIS APR (Q23c)</t>
  </si>
  <si>
    <t>PSH Only: Percent of Households w/at least one or more CH member</t>
  </si>
  <si>
    <t>HUD/CoC Priorities - Bonus Points</t>
  </si>
  <si>
    <t>Total Possible Bonus Points</t>
  </si>
  <si>
    <t>HMIS APR (Q18)</t>
  </si>
  <si>
    <t xml:space="preserve">Points are awarded propotionately by multiplying the total possible points by the percent of persons served during the report period that meet the condition
</t>
  </si>
  <si>
    <t>HMIS APR (Q14a)</t>
  </si>
  <si>
    <t xml:space="preserve">Severity of Need: % of adults entering project from a place not meant for human habitation </t>
  </si>
  <si>
    <t>Total Bonus Points</t>
  </si>
  <si>
    <t>Data Source: Q22c: Length of Time between Project Start Date and Housing Move-in Date
Average length of time to housing - Total
(Measure is based on the "housing type" [tenant-based or site-based] rather than the "project type" [PSH or RRH])</t>
  </si>
  <si>
    <t>Q14: Domestic Violence</t>
  </si>
  <si>
    <t>Q14a: Domestic Violence History</t>
  </si>
  <si>
    <t># Total:Yes:Q14a: Domestic Violence History</t>
  </si>
  <si>
    <t># Total:Total:Q14a: Domestic Violence History</t>
  </si>
  <si>
    <t># Total:Place not meant for habitation:Q15: Living Situation at Project Start</t>
  </si>
  <si>
    <t>Outcomes</t>
  </si>
  <si>
    <t>HUD/CoC Priorities- BONUS POINTS</t>
  </si>
  <si>
    <t>Tenant-Based or Site-Based</t>
  </si>
  <si>
    <t>Tenant-Based: 
&lt;=30 days
Site-Based: 
&lt;=14 days</t>
  </si>
  <si>
    <t>HUD/CoC Priorities bonus points total score</t>
  </si>
  <si>
    <t>Review Dates:</t>
  </si>
  <si>
    <t>Tenant-Based or Site-Based:</t>
  </si>
  <si>
    <t>Tenant-Based or Site-Based?</t>
  </si>
  <si>
    <t>Tenant-Based</t>
  </si>
  <si>
    <t>Number of Units in Project, per most recent Renewal App?</t>
  </si>
  <si>
    <t>Site-Based</t>
  </si>
  <si>
    <t>Data Quality</t>
  </si>
  <si>
    <t>HMIS APR (Q6e)</t>
  </si>
  <si>
    <t>HMIS APR (Q11)</t>
  </si>
  <si>
    <t>0.0% - 49.9% = score of 0;
50.0% - 74.9% = score of 1;
&gt;75.0% = score of 2</t>
  </si>
  <si>
    <t>Percentage of all adult participants who increased OTHER INCOME (NON- EARNED) from entry to annual assessment/exit (leavers and stayers)</t>
  </si>
  <si>
    <t>Percentage of adult participants with 1 or more source of Non-Cash Benefit at annual assessment/exit (leavers and stayers)</t>
  </si>
  <si>
    <t>0.0% - 24.9% = score of 0;
25% - 39.9% = score of 1;
40.0% - 54.9% = score of 2;
55.0% - 100.0% = score of 3</t>
  </si>
  <si>
    <t>0.0% - 34.9% = score of 0;
35% - 49.9% = score of 1;
50.0% - 64.9% = score of 2;
65.0% - 100.0% = score of 3</t>
  </si>
  <si>
    <t>0.0% - 24.9% = score of 0;
25.0% - 100.0% = score of 5
HUD Standard: 25% of expenditures requiring match</t>
  </si>
  <si>
    <t>*Measure 11 and 12 exclude deceased participants as well as those exiting to  foster care, hospitals/medical facilties and long-term care facilities/nursing homes</t>
  </si>
  <si>
    <t>Timeliness of HMIS Data Entry - Entry Records created within 0 to 3 calendar days of project entry</t>
  </si>
  <si>
    <t>Percentage of all leavers who exited to shelter, streets or unknown destinations</t>
  </si>
  <si>
    <t>Measure Type</t>
  </si>
  <si>
    <t>Objective</t>
  </si>
  <si>
    <t>Objective Measures: Performance measures that reflect CoC performance goals
Performance-Based Measures: Performance measures that reflect the HUD System Performance Measures (SPM)
Severity of Need Measures: Performance measures that reflect CoC prioritization goals</t>
  </si>
  <si>
    <t>Objective &amp; Performance</t>
  </si>
  <si>
    <t>Objective &amp; Severity of Need</t>
  </si>
  <si>
    <t xml:space="preserve">e-snaps report </t>
  </si>
  <si>
    <t>Measure Type Point Distribution</t>
  </si>
  <si>
    <t>Points Available</t>
  </si>
  <si>
    <t xml:space="preserve">All Project Types </t>
  </si>
  <si>
    <t>Percent of Points</t>
  </si>
  <si>
    <t>PSH Only: Percentage of all participants who remain in PSH or exited to permanent housing</t>
  </si>
  <si>
    <t xml:space="preserve">Severity of Need: % of adults that are domestic violence survivors </t>
  </si>
  <si>
    <t>Points are awarded propotionately by multiplying the total possible points by the percent of persons served during the report period that meet the condition</t>
  </si>
  <si>
    <t>Select project from drop-down</t>
  </si>
  <si>
    <t>Total Maximum Bonus Points</t>
  </si>
  <si>
    <t>Note: Domestic Violence projects will provide APR data from a comparable database.</t>
  </si>
  <si>
    <r>
      <rPr>
        <u/>
        <sz val="11"/>
        <color theme="1"/>
        <rFont val="Calibri"/>
        <family val="2"/>
        <scheme val="minor"/>
      </rPr>
      <t>Data Source:</t>
    </r>
    <r>
      <rPr>
        <sz val="11"/>
        <color theme="1"/>
        <rFont val="Calibri"/>
        <family val="2"/>
        <scheme val="minor"/>
      </rPr>
      <t xml:space="preserve"> Q15: Living Situation
</t>
    </r>
    <r>
      <rPr>
        <u/>
        <sz val="11"/>
        <color theme="1"/>
        <rFont val="Calibri"/>
        <family val="2"/>
        <scheme val="minor"/>
      </rPr>
      <t xml:space="preserve">Numerator: </t>
    </r>
    <r>
      <rPr>
        <sz val="11"/>
        <color theme="1"/>
        <rFont val="Calibri"/>
        <family val="2"/>
        <scheme val="minor"/>
      </rPr>
      <t xml:space="preserve">(Q15. Total - Place not meant for habitation)
</t>
    </r>
    <r>
      <rPr>
        <u/>
        <sz val="11"/>
        <color theme="1"/>
        <rFont val="Calibri"/>
        <family val="2"/>
        <scheme val="minor"/>
      </rPr>
      <t>Denominator:</t>
    </r>
    <r>
      <rPr>
        <sz val="11"/>
        <color theme="1"/>
        <rFont val="Calibri"/>
        <family val="2"/>
        <scheme val="minor"/>
      </rPr>
      <t xml:space="preserve"> ((Q15. Total) - (Q15. Client Doesn't Know/Client Refused))</t>
    </r>
  </si>
  <si>
    <t>VA0127</t>
  </si>
  <si>
    <t>VA0130</t>
  </si>
  <si>
    <t>VA0324</t>
  </si>
  <si>
    <t>VA0398</t>
  </si>
  <si>
    <t>Data Quality total score</t>
  </si>
  <si>
    <t>TOTAL BONUS POINTS</t>
  </si>
  <si>
    <t># Count of Clients: Number of adults (ages 18 and over):Q.5: Report Validation Table</t>
  </si>
  <si>
    <t># Count of Clients: Total Number of Persons Served:Q.5: Report Validation Table</t>
  </si>
  <si>
    <t># Total: 18-24: Q11: Age</t>
  </si>
  <si>
    <t># Project Start Records: 0 days: Q.6e: Data Quality: Timeliness</t>
  </si>
  <si>
    <t># Project Start Records: 1-3 days: Q.6e: Data Quality: Timeliness</t>
  </si>
  <si>
    <t># Project Start Records: 4-6 days: Q.6e: Data Quality: Timeliness</t>
  </si>
  <si>
    <t># Project Start Records: 7-10 days: Q.6e: Data Quality: Timeliness</t>
  </si>
  <si>
    <t># Project Start Records: 11+ days: Q.6e: Data Quality: Timeliness</t>
  </si>
  <si>
    <t>Timeliness of HMIS Data Entry - Entry Records</t>
  </si>
  <si>
    <t>Bonus: Severity of Need: Domestic Violence History</t>
  </si>
  <si>
    <t xml:space="preserve">Bonus: Severity of Need: Entering from Place Not meant for Habitation </t>
  </si>
  <si>
    <t>Count of Clients for DQ</t>
  </si>
  <si>
    <t>Count of Clients</t>
  </si>
  <si>
    <t>Q6e: Data Quality: Timeliness</t>
  </si>
  <si>
    <t>Number of Project Start Records</t>
  </si>
  <si>
    <t>Number of Project Exit Records</t>
  </si>
  <si>
    <t>0 days</t>
  </si>
  <si>
    <t>1-3 days</t>
  </si>
  <si>
    <t>4-6 days</t>
  </si>
  <si>
    <t>7-10 days</t>
  </si>
  <si>
    <t>11+ days</t>
  </si>
  <si>
    <t>Q11: Age</t>
  </si>
  <si>
    <t>Under 5</t>
  </si>
  <si>
    <t>5-12</t>
  </si>
  <si>
    <t>13-17</t>
  </si>
  <si>
    <t>18-24</t>
  </si>
  <si>
    <t>25-34</t>
  </si>
  <si>
    <t>35-44</t>
  </si>
  <si>
    <t>45-54</t>
  </si>
  <si>
    <t>SCOM</t>
  </si>
  <si>
    <t>GSHF</t>
  </si>
  <si>
    <t>ACTS</t>
  </si>
  <si>
    <t>PHI</t>
  </si>
  <si>
    <t>If you are unsure what data point to enter into which cells on "Raw Project Data" tab, use the "Example Table Shells" tab for reference.</t>
  </si>
  <si>
    <t>Insert raw data from APR, Provider Report, and submitted documents in tab "Raw Project Data".</t>
  </si>
  <si>
    <t>Once raw data is entered into "Raw Project Data" tab, the "Scoring Calculator" tab will automatically calculate the performance and score for each project. This will then feed into the "PSH Project Report" and "RRH Project Report" tabs, which will generate individual scoring reports for each project.</t>
  </si>
  <si>
    <t xml:space="preserve">To use the "PSH Project Report" and "RRH Project Report" tabs, select the appropriate grant number from the dark gray "Drop Down Menu" cell. You can then generate an individual report for each grant. Once you pull up an individual report, you can select Print and Print to PDF to save the report as a PDF (to provide to grantees). You can also create a copy of the worksheet and rename it with the Grant # or project name. </t>
  </si>
  <si>
    <t>Once all projects are scored, you can fill in their total score on the "Summary Report" tab.</t>
  </si>
  <si>
    <t>Average Length of Time to Housing (days)</t>
  </si>
  <si>
    <t>Performance (Base Points)</t>
  </si>
  <si>
    <t>Total Performance (Base) Points</t>
  </si>
  <si>
    <t>Formula = ((Base Points Awarded / Base Points Available for Scoring) * 100) + Bonus Points Awarded)</t>
  </si>
  <si>
    <t>TOTAL PERFORMANCE (BASE) POINTS</t>
  </si>
  <si>
    <t xml:space="preserve">Projects contract end date for the last fully completed grant year (format: 12/31/2020) </t>
  </si>
  <si>
    <t xml:space="preserve">Projects contract start date for the last fully completed grant year (format: 01/01/2020). </t>
  </si>
  <si>
    <t>This row is test data. If you delete this row, please make sure to delete the test data row from "Scoring Calculator" tab</t>
  </si>
  <si>
    <t>This row is test data. If you delete this row, please make sure to delete the test data row from "Raw Project Data" tab</t>
  </si>
  <si>
    <t>Measure 5</t>
  </si>
  <si>
    <t>Measure 2</t>
  </si>
  <si>
    <t>Measure 15</t>
  </si>
  <si>
    <t>Measure 1</t>
  </si>
  <si>
    <t>Measure 16</t>
  </si>
  <si>
    <t>Measure 17</t>
  </si>
  <si>
    <t>Measure 21</t>
  </si>
  <si>
    <t>Measure 14</t>
  </si>
  <si>
    <t>Meaure 2</t>
  </si>
  <si>
    <t>Measure 19</t>
  </si>
  <si>
    <t>Measure 3</t>
  </si>
  <si>
    <t>Measures 6 - 9</t>
  </si>
  <si>
    <t>Measure 6</t>
  </si>
  <si>
    <t>Measure 7</t>
  </si>
  <si>
    <t>Measure 9</t>
  </si>
  <si>
    <t>Percentage of adult Heads of Household with previous residence that indicates the qualified category of homelessness for the project</t>
  </si>
  <si>
    <t>HUD Annual Performance Report (APR) Submission within 90 days of the end of the program year</t>
  </si>
  <si>
    <t>Sage</t>
  </si>
  <si>
    <t>Severity of Need: % of adults with 2 or more disabilities at project start</t>
  </si>
  <si>
    <t>HMIS APR (Q13a2)</t>
  </si>
  <si>
    <t>Severity of Need: % of adults that are Transition Age Youth (18 - 24)</t>
  </si>
  <si>
    <t>Severity of Need: % of adults age 55+</t>
  </si>
  <si>
    <t>Review of Sage APR Due Date and APR Submission Date</t>
  </si>
  <si>
    <t xml:space="preserve">Review of eLOCCS report pulled by DSS </t>
  </si>
  <si>
    <t>TOTAL MAXIMUM POINTS (BASE + BONUS)</t>
  </si>
  <si>
    <t>Submitted on Time</t>
  </si>
  <si>
    <t>VA0439</t>
  </si>
  <si>
    <t>Eligibility: Chronically Homeless (PSH Only)</t>
  </si>
  <si>
    <t>HUD APR Submission</t>
  </si>
  <si>
    <t>Bonus: Severity of Need - 2+ Disabilities at Entry</t>
  </si>
  <si>
    <t>Bonus: Severity of Need: % of adults ages 18-24</t>
  </si>
  <si>
    <t>Bonus: Severity of Need: % of adults ages 55+</t>
  </si>
  <si>
    <t xml:space="preserve">Total Amount Drawn for Grant Year 
</t>
  </si>
  <si>
    <t>GIW Amount for corresponding grant year (PWC fill in from GIW)</t>
  </si>
  <si>
    <t xml:space="preserve">Quarterly Draws (confirmed by PWC) - Insert Yes or No </t>
  </si>
  <si>
    <t>APR Submitted on Time (confirmed by PWC) - Insert Yes or No</t>
  </si>
  <si>
    <t>Measure 18</t>
  </si>
  <si>
    <t>Q13a2|2 Conditions|Without Children</t>
  </si>
  <si>
    <t>Q13a2|2 Conditions|Adults in HH with Children and Adults</t>
  </si>
  <si>
    <t>Q13a2|3+ Conditions|Without Children</t>
  </si>
  <si>
    <t>Q13a2|3+ Conditions|Adults in HH with Children and Adults</t>
  </si>
  <si>
    <t>Q13a2|Total Persons|Without Children</t>
  </si>
  <si>
    <t>Q13a2|Total Persons|Adults in HH with Children and Adults</t>
  </si>
  <si>
    <t>Q13a2|Client doesn't know/Prefers Not to Answer|Without Children</t>
  </si>
  <si>
    <t>Q13a2|Client doesn't know/Prefers Not to Answer|Adults in HH with Children and Adults</t>
  </si>
  <si>
    <t>Measure 20</t>
  </si>
  <si>
    <t>Eligibility: Qualified Homeless Category</t>
  </si>
  <si>
    <t>TEST PSH</t>
  </si>
  <si>
    <t>TEST RRH</t>
  </si>
  <si>
    <t>TEST PROJECT PSH</t>
  </si>
  <si>
    <t>TEST PROJECT RRH</t>
  </si>
  <si>
    <t># Project Start Records: Less than 0 days: Q.6e: Data Quality: Timeliness</t>
  </si>
  <si>
    <r>
      <rPr>
        <u/>
        <sz val="11"/>
        <color theme="1"/>
        <rFont val="Calibri"/>
        <family val="2"/>
        <scheme val="minor"/>
      </rPr>
      <t>Data Source:</t>
    </r>
    <r>
      <rPr>
        <sz val="11"/>
        <color theme="1"/>
        <rFont val="Calibri"/>
        <family val="2"/>
        <scheme val="minor"/>
      </rPr>
      <t xml:space="preserve"> APR Q6e: Timeliness
</t>
    </r>
    <r>
      <rPr>
        <u/>
        <sz val="11"/>
        <color theme="1"/>
        <rFont val="Calibri"/>
        <family val="2"/>
        <scheme val="minor"/>
      </rPr>
      <t>Numerator</t>
    </r>
    <r>
      <rPr>
        <sz val="11"/>
        <color theme="1"/>
        <rFont val="Calibri"/>
        <family val="2"/>
        <scheme val="minor"/>
      </rPr>
      <t xml:space="preserve">: (Number of Project Start Records-&lt;0 Days + 0 Days + 1-3 Days)
</t>
    </r>
    <r>
      <rPr>
        <u/>
        <sz val="11"/>
        <color theme="1"/>
        <rFont val="Calibri"/>
        <family val="2"/>
        <scheme val="minor"/>
      </rPr>
      <t>Denominator</t>
    </r>
    <r>
      <rPr>
        <sz val="11"/>
        <color theme="1"/>
        <rFont val="Calibri"/>
        <family val="2"/>
        <scheme val="minor"/>
      </rPr>
      <t>: (Number of Project Start Records- &lt;0 Days + 0 Days + 1-3 Days + 4-6 Days + 7-10 Days + 11+ Days)</t>
    </r>
  </si>
  <si>
    <t>Q13a2. Number of Conditions at Start</t>
  </si>
  <si>
    <t>1 Condition</t>
  </si>
  <si>
    <t>2 Conditions</t>
  </si>
  <si>
    <t>3+ Conditions</t>
  </si>
  <si>
    <t>Condition Unknown</t>
  </si>
  <si>
    <t>Client Doesn't Know/Prefers not to Answer</t>
  </si>
  <si>
    <t>Client Doesn't Know/Prefers Not to Answer</t>
  </si>
  <si>
    <t>Client Doesn’t Know/Prefers Not to Answer</t>
  </si>
  <si>
    <t>Adults with Client Doesn't Know/Prefers Not to Answer Income Information</t>
  </si>
  <si>
    <t>Total Persons</t>
  </si>
  <si>
    <t>Adults in HH with Children &amp; Adults</t>
  </si>
  <si>
    <t>Children in HH with Children &amp; Adults</t>
  </si>
  <si>
    <t>&lt;0 days</t>
  </si>
  <si>
    <t>None</t>
  </si>
  <si>
    <t>Emergency shelter, including hotel or motel paid for with emergency shelter voucher, Host Home shelter</t>
  </si>
  <si>
    <t>Institutional Situations</t>
  </si>
  <si>
    <t>Temporary Situations</t>
  </si>
  <si>
    <t>Staying or living in a friend's room, apartment, or house</t>
  </si>
  <si>
    <t>Staying or living in a family member's room, apartment, or house</t>
  </si>
  <si>
    <t>Permanent Situations</t>
  </si>
  <si>
    <t>Rental by client, with ongoing housing subsidy</t>
  </si>
  <si>
    <t>-</t>
  </si>
  <si>
    <t>Other Situations</t>
  </si>
  <si>
    <t>No Exit Interview completed</t>
  </si>
  <si>
    <t>TOTAL</t>
  </si>
  <si>
    <t>Total persons exiting to destinations that excluded them from the calculation</t>
  </si>
  <si>
    <t>Percentage of persons exiting to positive housing destinations</t>
  </si>
  <si>
    <t># Total:Percentage of persons exiting to positive housing destination:Q23c</t>
  </si>
  <si>
    <t># Total: Client Doesn't Know/Prefers Not to Answer: Q11: Age</t>
  </si>
  <si>
    <t># Total:Client Doesn't Know/Prefers Not to Answer:Q14a: Domestic Violence History</t>
  </si>
  <si>
    <t># Total:Client Doesn't Know/Prefers Not to Answer:Q15: Living Situation at Project Start</t>
  </si>
  <si>
    <t>Q18|Adults with Client Doesn't Know/Prefers Not to Answer Income Information|Number of Adults at Annual Assessment (Stayer)</t>
  </si>
  <si>
    <t>Q18|Adults with Client Doesn't Know/Prefers Not to Answer Income Information|Number of Adults at Exit (Leavers)</t>
  </si>
  <si>
    <t># Stayers:Client Doesn't Know/Prefers Not to Answer:Q20b: Number of Non-Cash Benefit Sources</t>
  </si>
  <si>
    <t># Leavers:Client Doesn't Know/Prefers Not to Answer:Q20b: Number of Non-Cash Benefit Sources</t>
  </si>
  <si>
    <t># Total:Client Doesn’t Know/Prefers Not to Answer:Q23c</t>
  </si>
  <si>
    <t xml:space="preserve"># Total:Client Doesn’t Know/Prefers Not to Answer:Q26a </t>
  </si>
  <si>
    <t>Within 90 days of last fully completely grant cycle end</t>
  </si>
  <si>
    <t>Non-Timely Submission = Score of 0
Timely Submission (within 90 days of last fully completed grant cycle end) = Score of 2</t>
  </si>
  <si>
    <t>55-64</t>
  </si>
  <si>
    <t>65+</t>
  </si>
  <si>
    <t># Total: 55-64: Q11: Age</t>
  </si>
  <si>
    <t># Total: 65+: Q11: Age</t>
  </si>
  <si>
    <t>1. HMIS APR (Q15)
2. Provider documentation</t>
  </si>
  <si>
    <t>TOTAL SCORE (Pro-rated to 100)</t>
  </si>
  <si>
    <t>HMIS ID 117</t>
  </si>
  <si>
    <t>HMIS ID 34</t>
  </si>
  <si>
    <t>HMIS ID 101</t>
  </si>
  <si>
    <t>HMIS ID 167</t>
  </si>
  <si>
    <t>Comparable Site ID 3; HMIS ID 221</t>
  </si>
  <si>
    <t>Project Info</t>
  </si>
  <si>
    <t>Measure 23</t>
  </si>
  <si>
    <t>Measure 24</t>
  </si>
  <si>
    <t>Measures 23 - 24</t>
  </si>
  <si>
    <t>Measure 22</t>
  </si>
  <si>
    <r>
      <t xml:space="preserve">Measure 10 
</t>
    </r>
    <r>
      <rPr>
        <i/>
        <sz val="9"/>
        <color theme="1"/>
        <rFont val="Calibri"/>
        <family val="2"/>
        <scheme val="minor"/>
      </rPr>
      <t>(RRH Only)</t>
    </r>
  </si>
  <si>
    <r>
      <t xml:space="preserve">Measure 4
</t>
    </r>
    <r>
      <rPr>
        <i/>
        <sz val="9"/>
        <color theme="1"/>
        <rFont val="Calibri"/>
        <family val="2"/>
        <scheme val="minor"/>
      </rPr>
      <t>(PSH Only)</t>
    </r>
  </si>
  <si>
    <t>PWA CoC Renewal Project Scoring Tool - FY25 Evaluation Standards</t>
  </si>
  <si>
    <t>2025 Benchmark</t>
  </si>
  <si>
    <t>2025 Points</t>
  </si>
  <si>
    <t>FY25 Scoring Intervals</t>
  </si>
  <si>
    <t>0.0% - 74.9% = score of 0;
75.0% - 84.9% = score of 1;
85.0% - 94.9% = score of 3;
95.0%- 100.0% = score of 5</t>
  </si>
  <si>
    <t>Tenant-Based:
181+ days = score of 0
61 - 180 days = score of 1;
31 - 60 days = score of 3;
0 - 30 days = score of 5;
Site-based:
61+ days = score of 0
22 - 60 days = score of 1;
15 - 21 days = score of 3;
0 - 14 days = score of 5</t>
  </si>
  <si>
    <t>0.0% - 4.9% = score of 0;
5.0% - 9.9% = score of 3;
10.0% - 14.9% = score of 6;
15.0% - 100.0% = score of 10</t>
  </si>
  <si>
    <t>0.0% - 4.9% = score of 0;
5.0% - 9.9% = score of 3;
10.0% - 24.9% = score of 6;
25.0% - 100.0% = score of 10</t>
  </si>
  <si>
    <t>0.0% - 39.9% = score of 0;
40.0% - 54.9% = score of 1;
55.0% - 69.9% = score of 3;
70.0% - 100.0% = score of 5</t>
  </si>
  <si>
    <t>0.0% - 4.9% = score of 0;
5.0% - 9.9% = score of 1;
10.0% - 14.9% = score of 3;
15.0% - 100.0% = score of 5</t>
  </si>
  <si>
    <t>Percentage of adult participants who maintained EARNED INCOME at annual assessment/exit (leavers and stayers)</t>
  </si>
  <si>
    <t>0.0% - 34.9% = score of 0;
35% - 49.9% = score of 1;
50.0% - 69.9% = score of 3;
70.0% - 100.0% = score of 5</t>
  </si>
  <si>
    <t>0.0% - 24.9% = score of 0;
25.0% - 34.9% = score of 1;
35.0 % - 49.9% = score of 3; 
50.0% - 100.0% = score of 5</t>
  </si>
  <si>
    <t>0.0% - 44.9% = score of 0;
45.0% - 64.9% = score of 1;
65% - 84.9% = score of 3;
85.0% - 100.0% = score of 5</t>
  </si>
  <si>
    <t>0.0% - 5% = score of 5;
&gt;5.0% = score of 0</t>
  </si>
  <si>
    <t>Returns: Percent of participants housed by the project that return to homelessness within 24 months of exiting to permanent housing</t>
  </si>
  <si>
    <t>Less than 15%</t>
  </si>
  <si>
    <t>0.0% - 14.99% = score of 10;
15.0% - 19.99% = score of 5;
20.0% - 24.99% = score of 3;
&gt;25% = score of 0</t>
  </si>
  <si>
    <t>Supportive Services</t>
  </si>
  <si>
    <t>Supportive Services Requirements: Project requires participants to take part in supportive services (e.g., case management, employment training, substance use disorder treatment)</t>
  </si>
  <si>
    <t>1. Supportive Services Agreement
2. Individualized Service Plan</t>
  </si>
  <si>
    <t>Documentation Submitted</t>
  </si>
  <si>
    <t>Service Participation Not Required = Score of 0
Service Participation Required = Score of 3</t>
  </si>
  <si>
    <t>FY25 Total Possible Bonus Points</t>
  </si>
  <si>
    <t>1. HMIS APR (Q23c)
2. HMIS SPM (Q2a, Q2b)
3. DSS Report</t>
  </si>
  <si>
    <r>
      <rPr>
        <u/>
        <sz val="11"/>
        <color theme="1"/>
        <rFont val="Calibri"/>
        <family val="2"/>
        <scheme val="minor"/>
      </rPr>
      <t>Data Source</t>
    </r>
    <r>
      <rPr>
        <sz val="11"/>
        <color theme="1"/>
        <rFont val="Calibri"/>
        <family val="2"/>
        <scheme val="minor"/>
      </rPr>
      <t xml:space="preserve">: APR Q8b Point-in-Time Count of Households on the Last Wednesday; 2024 Project App # Units
</t>
    </r>
    <r>
      <rPr>
        <u/>
        <sz val="11"/>
        <color theme="1"/>
        <rFont val="Calibri"/>
        <family val="2"/>
        <scheme val="minor"/>
      </rPr>
      <t>Numerator:</t>
    </r>
    <r>
      <rPr>
        <sz val="11"/>
        <color theme="1"/>
        <rFont val="Calibri"/>
        <family val="2"/>
        <scheme val="minor"/>
      </rPr>
      <t xml:space="preserve"> Average of Q8b Point-in-Time Count of Households Served on the Last Wednesday in January, April, July and October
</t>
    </r>
    <r>
      <rPr>
        <u/>
        <sz val="11"/>
        <color theme="1"/>
        <rFont val="Calibri"/>
        <family val="2"/>
        <scheme val="minor"/>
      </rPr>
      <t>Denominator:</t>
    </r>
    <r>
      <rPr>
        <sz val="11"/>
        <color theme="1"/>
        <rFont val="Calibri"/>
        <family val="2"/>
        <scheme val="minor"/>
      </rPr>
      <t xml:space="preserve">  # Units per 2024 Project Applications</t>
    </r>
  </si>
  <si>
    <t>PWA CoC Renewal Project Scoring Tool
Appendix: Data Calculations Explanation for Scoring Criteria</t>
  </si>
  <si>
    <t>The time period used to measure performance will be: 01/01/2024 - 12/31/2024 
Financial data will be measured based on the program year that ended during this report period
Projects that were not operational for one full program year will not be competively scored</t>
  </si>
  <si>
    <r>
      <t xml:space="preserve">Q13a2: Number of Conditions at Start
</t>
    </r>
    <r>
      <rPr>
        <u/>
        <sz val="11"/>
        <color theme="1"/>
        <rFont val="Calibri"/>
        <family val="2"/>
        <scheme val="minor"/>
      </rPr>
      <t>Numerator:</t>
    </r>
    <r>
      <rPr>
        <sz val="11"/>
        <color theme="1"/>
        <rFont val="Calibri"/>
        <family val="2"/>
        <scheme val="minor"/>
      </rPr>
      <t xml:space="preserve"> ((Q13a2. Without Children-2 Conditions + 3+ Conditions) + (Q13a2. Adults in HH With Children and Adults-2 Conditions + 3+ Conditions))
</t>
    </r>
    <r>
      <rPr>
        <u/>
        <sz val="11"/>
        <color theme="1"/>
        <rFont val="Calibri"/>
        <family val="2"/>
        <scheme val="minor"/>
      </rPr>
      <t>Denominator:</t>
    </r>
    <r>
      <rPr>
        <sz val="11"/>
        <color theme="1"/>
        <rFont val="Calibri"/>
        <family val="2"/>
        <scheme val="minor"/>
      </rPr>
      <t xml:space="preserve"> ((Q13a2. Without Children-Total + Q13a2. Adults in HH With Children and Adults Total) –  (Q13a2. Without Children-Client Doesn’t Know/Client Refused + Q13a2. Adults in HH With Children and Adults))</t>
    </r>
  </si>
  <si>
    <r>
      <rPr>
        <u/>
        <sz val="11"/>
        <color theme="1"/>
        <rFont val="Calibri"/>
        <family val="2"/>
        <scheme val="minor"/>
      </rPr>
      <t>Data Source:</t>
    </r>
    <r>
      <rPr>
        <sz val="11"/>
        <color theme="1"/>
        <rFont val="Calibri"/>
        <family val="2"/>
        <scheme val="minor"/>
      </rPr>
      <t xml:space="preserve"> APR Q14a: Domestic Violence History
</t>
    </r>
    <r>
      <rPr>
        <u/>
        <sz val="11"/>
        <color theme="1"/>
        <rFont val="Calibri"/>
        <family val="2"/>
        <scheme val="minor"/>
      </rPr>
      <t>Numerator:</t>
    </r>
    <r>
      <rPr>
        <sz val="11"/>
        <color theme="1"/>
        <rFont val="Calibri"/>
        <family val="2"/>
        <scheme val="minor"/>
      </rPr>
      <t xml:space="preserve"> Q14a Total-Yes 
</t>
    </r>
    <r>
      <rPr>
        <u/>
        <sz val="11"/>
        <color theme="1"/>
        <rFont val="Calibri"/>
        <family val="2"/>
        <scheme val="minor"/>
      </rPr>
      <t>Denominator</t>
    </r>
    <r>
      <rPr>
        <sz val="11"/>
        <color theme="1"/>
        <rFont val="Calibri"/>
        <family val="2"/>
        <scheme val="minor"/>
      </rPr>
      <t>: ((Q14a Total-Total) – (Q14a Total-Client Doesn’t Know/Client Refused))</t>
    </r>
  </si>
  <si>
    <r>
      <rPr>
        <u/>
        <sz val="11"/>
        <color theme="1"/>
        <rFont val="Calibri"/>
        <family val="2"/>
        <scheme val="minor"/>
      </rPr>
      <t>Data Source:</t>
    </r>
    <r>
      <rPr>
        <sz val="11"/>
        <color theme="1"/>
        <rFont val="Calibri"/>
        <family val="2"/>
        <scheme val="minor"/>
      </rPr>
      <t xml:space="preserve"> APR Q5 Report Validation Table; APR Q11 Age
</t>
    </r>
    <r>
      <rPr>
        <u/>
        <sz val="11"/>
        <color theme="1"/>
        <rFont val="Calibri"/>
        <family val="2"/>
        <scheme val="minor"/>
      </rPr>
      <t>Numerator:</t>
    </r>
    <r>
      <rPr>
        <sz val="11"/>
        <color theme="1"/>
        <rFont val="Calibri"/>
        <family val="2"/>
        <scheme val="minor"/>
      </rPr>
      <t xml:space="preserve"> (Q11. 18-24 Total) 
</t>
    </r>
    <r>
      <rPr>
        <u/>
        <sz val="11"/>
        <color theme="1"/>
        <rFont val="Calibri"/>
        <family val="2"/>
        <scheme val="minor"/>
      </rPr>
      <t>Denominator:</t>
    </r>
    <r>
      <rPr>
        <sz val="11"/>
        <color theme="1"/>
        <rFont val="Calibri"/>
        <family val="2"/>
        <scheme val="minor"/>
      </rPr>
      <t xml:space="preserve"> ((Q5. Number of Adults (Age18 or Over) - (Q11. Client Doesn’t Know/Client Refused-Total))</t>
    </r>
  </si>
  <si>
    <r>
      <rPr>
        <u/>
        <sz val="11"/>
        <color theme="1"/>
        <rFont val="Calibri"/>
        <family val="2"/>
        <scheme val="minor"/>
      </rPr>
      <t>Data Source:</t>
    </r>
    <r>
      <rPr>
        <sz val="11"/>
        <color theme="1"/>
        <rFont val="Calibri"/>
        <family val="2"/>
        <scheme val="minor"/>
      </rPr>
      <t xml:space="preserve"> APR Q5 Report Validation Table; APR Q11 Age
</t>
    </r>
    <r>
      <rPr>
        <u/>
        <sz val="11"/>
        <color theme="1"/>
        <rFont val="Calibri"/>
        <family val="2"/>
        <scheme val="minor"/>
      </rPr>
      <t>Numerator:</t>
    </r>
    <r>
      <rPr>
        <sz val="11"/>
        <color theme="1"/>
        <rFont val="Calibri"/>
        <family val="2"/>
        <scheme val="minor"/>
      </rPr>
      <t xml:space="preserve"> ((Q11. 55-64-Total) + (Q11. 65+-Total))
</t>
    </r>
    <r>
      <rPr>
        <u/>
        <sz val="11"/>
        <color theme="1"/>
        <rFont val="Calibri"/>
        <family val="2"/>
        <scheme val="minor"/>
      </rPr>
      <t>Denominator:</t>
    </r>
    <r>
      <rPr>
        <sz val="11"/>
        <color theme="1"/>
        <rFont val="Calibri"/>
        <family val="2"/>
        <scheme val="minor"/>
      </rPr>
      <t xml:space="preserve"> ((Q5. Number of Adults (Age18 or Over) - (Q11. Client Doesn’t Know/Client Refused-Total))</t>
    </r>
  </si>
  <si>
    <r>
      <rPr>
        <u/>
        <sz val="11"/>
        <color theme="1"/>
        <rFont val="Calibri"/>
        <family val="2"/>
        <scheme val="minor"/>
      </rPr>
      <t xml:space="preserve">Data Source: </t>
    </r>
    <r>
      <rPr>
        <sz val="11"/>
        <color theme="1"/>
        <rFont val="Calibri"/>
        <family val="2"/>
        <scheme val="minor"/>
      </rPr>
      <t xml:space="preserve">Q23c: Exit Destination 
</t>
    </r>
    <r>
      <rPr>
        <u/>
        <sz val="11"/>
        <color theme="1"/>
        <rFont val="Calibri"/>
        <family val="2"/>
        <scheme val="minor"/>
      </rPr>
      <t>Numerator</t>
    </r>
    <r>
      <rPr>
        <sz val="11"/>
        <color theme="1"/>
        <rFont val="Calibri"/>
        <family val="2"/>
        <scheme val="minor"/>
      </rPr>
      <t xml:space="preserve">: ((Q23c - Total - Emergency Shelter) + (Q23c- Total - Place not meant for human habitation) + (Q23c - Total - Data Not Collected))
</t>
    </r>
    <r>
      <rPr>
        <u/>
        <sz val="11"/>
        <color theme="1"/>
        <rFont val="Calibri"/>
        <family val="2"/>
        <scheme val="minor"/>
      </rPr>
      <t>Denominator:</t>
    </r>
    <r>
      <rPr>
        <sz val="11"/>
        <color theme="1"/>
        <rFont val="Calibri"/>
        <family val="2"/>
        <scheme val="minor"/>
      </rPr>
      <t xml:space="preserve"> (Q23c - Total - Total) </t>
    </r>
  </si>
  <si>
    <r>
      <rPr>
        <u/>
        <sz val="11"/>
        <color theme="1"/>
        <rFont val="Calibri"/>
        <family val="2"/>
        <scheme val="minor"/>
      </rPr>
      <t>Data Source:</t>
    </r>
    <r>
      <rPr>
        <sz val="11"/>
        <color theme="1"/>
        <rFont val="Calibri"/>
        <family val="2"/>
        <scheme val="minor"/>
      </rPr>
      <t xml:space="preserve"> Q22a1: Length of Participation – CoC Projects; Q23c: Exit Destination 
</t>
    </r>
    <r>
      <rPr>
        <u/>
        <sz val="11"/>
        <color theme="1"/>
        <rFont val="Calibri"/>
        <family val="2"/>
        <scheme val="minor"/>
      </rPr>
      <t>Numerator</t>
    </r>
    <r>
      <rPr>
        <sz val="11"/>
        <color theme="1"/>
        <rFont val="Calibri"/>
        <family val="2"/>
        <scheme val="minor"/>
      </rPr>
      <t xml:space="preserve">: ((Q22a1 Stayers-Total) + (Q23c-Total persons exiting to positive housing destinations)) 
</t>
    </r>
    <r>
      <rPr>
        <u/>
        <sz val="11"/>
        <color theme="1"/>
        <rFont val="Calibri"/>
        <family val="2"/>
        <scheme val="minor"/>
      </rPr>
      <t>Denominator</t>
    </r>
    <r>
      <rPr>
        <sz val="11"/>
        <color theme="1"/>
        <rFont val="Calibri"/>
        <family val="2"/>
        <scheme val="minor"/>
      </rPr>
      <t>: ((Q22a1 Stayers-Total + Q23c Total) – (Q23c-Total persons whose destinations excluded them from the calculation))</t>
    </r>
  </si>
  <si>
    <r>
      <rPr>
        <u/>
        <sz val="11"/>
        <color theme="1"/>
        <rFont val="Calibri"/>
        <family val="2"/>
        <scheme val="minor"/>
      </rPr>
      <t>Data Source:</t>
    </r>
    <r>
      <rPr>
        <sz val="11"/>
        <color theme="1"/>
        <rFont val="Calibri"/>
        <family val="2"/>
        <scheme val="minor"/>
      </rPr>
      <t xml:space="preserve"> APR Q22a1:  Length of Participation – CoC Projects
</t>
    </r>
    <r>
      <rPr>
        <u/>
        <sz val="11"/>
        <color theme="1"/>
        <rFont val="Calibri"/>
        <family val="2"/>
        <scheme val="minor"/>
      </rPr>
      <t>Numerator</t>
    </r>
    <r>
      <rPr>
        <sz val="11"/>
        <color theme="1"/>
        <rFont val="Calibri"/>
        <family val="2"/>
        <scheme val="minor"/>
      </rPr>
      <t xml:space="preserve">: ((Total-30 days or less) + (Total-31 to 60 days) + (Total-61 to 90 days) + (Total-91 to 180 days)) 
</t>
    </r>
    <r>
      <rPr>
        <u/>
        <sz val="11"/>
        <color theme="1"/>
        <rFont val="Calibri"/>
        <family val="2"/>
        <scheme val="minor"/>
      </rPr>
      <t>Denominator</t>
    </r>
    <r>
      <rPr>
        <sz val="11"/>
        <color theme="1"/>
        <rFont val="Calibri"/>
        <family val="2"/>
        <scheme val="minor"/>
      </rPr>
      <t>: (Total-Total)</t>
    </r>
  </si>
  <si>
    <r>
      <rPr>
        <u/>
        <sz val="11"/>
        <color theme="1"/>
        <rFont val="Calibri"/>
        <family val="2"/>
        <scheme val="minor"/>
      </rPr>
      <t>Data Source</t>
    </r>
    <r>
      <rPr>
        <sz val="11"/>
        <color theme="1"/>
        <rFont val="Calibri"/>
        <family val="2"/>
        <scheme val="minor"/>
      </rPr>
      <t xml:space="preserve">: APR Q20b: Number of Non-Cash Benefit Sources; APR Q18: Client Cash Income Category - Earned/Other Income Category - by Entry and Annual Assessment/Exit Status
</t>
    </r>
    <r>
      <rPr>
        <u/>
        <sz val="11"/>
        <color theme="1"/>
        <rFont val="Calibri"/>
        <family val="2"/>
        <scheme val="minor"/>
      </rPr>
      <t>Numerator:</t>
    </r>
    <r>
      <rPr>
        <sz val="11"/>
        <color theme="1"/>
        <rFont val="Calibri"/>
        <family val="2"/>
        <scheme val="minor"/>
      </rPr>
      <t xml:space="preserve"> (Q20b Benefit at Latest Annual Assessment for Stayers-1 + Source(s)) + (Q20b Benefit at Exit for Leavers-1+ Source(s)) 
</t>
    </r>
    <r>
      <rPr>
        <u/>
        <sz val="11"/>
        <color theme="1"/>
        <rFont val="Calibri"/>
        <family val="2"/>
        <scheme val="minor"/>
      </rPr>
      <t>Denominator:</t>
    </r>
    <r>
      <rPr>
        <sz val="11"/>
        <color theme="1"/>
        <rFont val="Calibri"/>
        <family val="2"/>
        <scheme val="minor"/>
      </rPr>
      <t xml:space="preserve"> ((Q20b Benefit at Latest Annual Assessment for Stayers-Total) + (Q20b Benefit at Exit for Leavers-Total) – (Q18 Number of Stayers-Number of adult stayers not yet required to have an annual assessment) – (Q20b Benefit at Latest Annual Assessment for Stayers-Client Doesn't Know/Client Refused) – (Q20b Benefit at Exit for Leavers-Client Doesn't Know/Client Refused))</t>
    </r>
  </si>
  <si>
    <r>
      <rPr>
        <u/>
        <sz val="11"/>
        <color theme="1"/>
        <rFont val="Calibri"/>
        <family val="2"/>
        <scheme val="minor"/>
      </rPr>
      <t>Data Source:</t>
    </r>
    <r>
      <rPr>
        <sz val="11"/>
        <color theme="1"/>
        <rFont val="Calibri"/>
        <family val="2"/>
        <scheme val="minor"/>
      </rPr>
      <t xml:space="preserve"> APR Q19a1: Cash Client Income Change – Income Source- Start and latest Status; Q19a2: Cash Client Income Change - Income Surce - by Start and Exit; Q18 Client Cash Income Category - Earned/Other Income Category - by Entry and Annual Assessment/Exit Status
</t>
    </r>
    <r>
      <rPr>
        <u/>
        <sz val="11"/>
        <color theme="1"/>
        <rFont val="Calibri"/>
        <family val="2"/>
        <scheme val="minor"/>
      </rPr>
      <t xml:space="preserve">
Numerator</t>
    </r>
    <r>
      <rPr>
        <sz val="11"/>
        <color theme="1"/>
        <rFont val="Calibri"/>
        <family val="2"/>
        <scheme val="minor"/>
      </rPr>
      <t xml:space="preserve">: ((Q19a1 Number of Adults w/Other Income -Performance Measure: Adults who gained or Increased Income from Start to Annual Assessment) + (Q19a2 Number of Adults w/Other Income-Performance Measure: Adults who gained or increased income from start to exit))
</t>
    </r>
    <r>
      <rPr>
        <u/>
        <sz val="11"/>
        <color theme="1"/>
        <rFont val="Calibri"/>
        <family val="2"/>
        <scheme val="minor"/>
      </rPr>
      <t>Denominator:</t>
    </r>
    <r>
      <rPr>
        <sz val="11"/>
        <color theme="1"/>
        <rFont val="Calibri"/>
        <family val="2"/>
        <scheme val="minor"/>
      </rPr>
      <t xml:space="preserve"> ((Q18 Adults at Annual (Stayers)-Total Adults + Q18 Adults at Exit (Leavers)-Total Adults)) – (Q18 Adults at Annual (Stayers)-Number of adult stayers not yet required to have an annual assessment) – (Q18 Adults at Annual (Stayers)-Client Doesn’t Know/Client Refused) – (Q18 Adults at Exit (Leavers)-Client Doesn’t Know/Client Refused))</t>
    </r>
  </si>
  <si>
    <r>
      <rPr>
        <u/>
        <sz val="11"/>
        <color theme="1"/>
        <rFont val="Calibri"/>
        <family val="2"/>
        <scheme val="minor"/>
      </rPr>
      <t>Data Source:</t>
    </r>
    <r>
      <rPr>
        <sz val="11"/>
        <color theme="1"/>
        <rFont val="Calibri"/>
        <family val="2"/>
        <scheme val="minor"/>
      </rPr>
      <t xml:space="preserve"> APR Q19a1: Cash Client Income Change – Income Source- Start and latest Status; Q19a2: Cash Client Income Change - Income Surce - by Start and Exit; Q18 Client Cash Income Category - Earned/Other Income Category - by Entry and Annual Assessment/Exit Status
</t>
    </r>
    <r>
      <rPr>
        <u/>
        <sz val="11"/>
        <color theme="1"/>
        <rFont val="Calibri"/>
        <family val="2"/>
        <scheme val="minor"/>
      </rPr>
      <t xml:space="preserve">
Numerator</t>
    </r>
    <r>
      <rPr>
        <sz val="11"/>
        <color theme="1"/>
        <rFont val="Calibri"/>
        <family val="2"/>
        <scheme val="minor"/>
      </rPr>
      <t xml:space="preserve">: ((Q19a1 Number of Adults w/Earned Income-Performance Measure: Adults who gained or Increased Income from Start to Annual Assessment)) + (Q19a2 Number of Adults w/Earned Income-Performance Measure: Adults who gained or increased income from start to exit))
</t>
    </r>
    <r>
      <rPr>
        <u/>
        <sz val="11"/>
        <color theme="1"/>
        <rFont val="Calibri"/>
        <family val="2"/>
        <scheme val="minor"/>
      </rPr>
      <t>Denominator:</t>
    </r>
    <r>
      <rPr>
        <sz val="11"/>
        <color theme="1"/>
        <rFont val="Calibri"/>
        <family val="2"/>
        <scheme val="minor"/>
      </rPr>
      <t xml:space="preserve"> ((Q18 Adults at Annual (Stayers)-Total Adults + Q18 Adults at Exit (Leavers)-Total Adults) – (Q18 Adults at Annual (Stayers)-Number of adult stayers not yet required to have an annual assessment) – (Q18 Adults at Annual (Stayers)-Client Doesn’t Know/Client Refused) – (Q18 Adults at Exit (Leavers)-Client Doesn’t Know/Client Refused))</t>
    </r>
  </si>
  <si>
    <r>
      <rPr>
        <u/>
        <sz val="11"/>
        <color theme="1"/>
        <rFont val="Calibri"/>
        <family val="2"/>
        <scheme val="minor"/>
      </rPr>
      <t>Data Source</t>
    </r>
    <r>
      <rPr>
        <sz val="11"/>
        <color theme="1"/>
        <rFont val="Calibri"/>
        <family val="2"/>
        <scheme val="minor"/>
      </rPr>
      <t xml:space="preserve">: Q26a: Chronic Homeless Status - Number of Households w/at least one or more CH person
</t>
    </r>
    <r>
      <rPr>
        <u/>
        <sz val="11"/>
        <color theme="1"/>
        <rFont val="Calibri"/>
        <family val="2"/>
        <scheme val="minor"/>
      </rPr>
      <t xml:space="preserve">Numerator: </t>
    </r>
    <r>
      <rPr>
        <sz val="11"/>
        <color theme="1"/>
        <rFont val="Calibri"/>
        <family val="2"/>
        <scheme val="minor"/>
      </rPr>
      <t xml:space="preserve"> Q26a.Chronically Homeless-Total
</t>
    </r>
    <r>
      <rPr>
        <u/>
        <sz val="11"/>
        <color theme="1"/>
        <rFont val="Calibri"/>
        <family val="2"/>
        <scheme val="minor"/>
      </rPr>
      <t>Denominator</t>
    </r>
    <r>
      <rPr>
        <sz val="11"/>
        <color theme="1"/>
        <rFont val="Calibri"/>
        <family val="2"/>
        <scheme val="minor"/>
      </rPr>
      <t>: ((Q26a. Total-Total) - (Q26a. Client Doesn’t Know/Client Refused-Total))</t>
    </r>
  </si>
  <si>
    <r>
      <rPr>
        <u/>
        <sz val="11"/>
        <color theme="1"/>
        <rFont val="Calibri"/>
        <family val="2"/>
        <scheme val="minor"/>
      </rPr>
      <t>1. Data Source:</t>
    </r>
    <r>
      <rPr>
        <sz val="11"/>
        <color theme="1"/>
        <rFont val="Calibri"/>
        <family val="2"/>
        <scheme val="minor"/>
      </rPr>
      <t xml:space="preserve"> Q15: Living Situation
</t>
    </r>
    <r>
      <rPr>
        <u/>
        <sz val="11"/>
        <color theme="1"/>
        <rFont val="Calibri"/>
        <family val="2"/>
        <scheme val="minor"/>
      </rPr>
      <t>Numerator:</t>
    </r>
    <r>
      <rPr>
        <sz val="11"/>
        <color theme="1"/>
        <rFont val="Calibri"/>
        <family val="2"/>
        <scheme val="minor"/>
      </rPr>
      <t xml:space="preserve"> (Q15. Total - Subtotal Homeless Situations)
</t>
    </r>
    <r>
      <rPr>
        <u/>
        <sz val="11"/>
        <color theme="1"/>
        <rFont val="Calibri"/>
        <family val="2"/>
        <scheme val="minor"/>
      </rPr>
      <t>Denominator:</t>
    </r>
    <r>
      <rPr>
        <sz val="11"/>
        <color theme="1"/>
        <rFont val="Calibri"/>
        <family val="2"/>
        <scheme val="minor"/>
      </rPr>
      <t xml:space="preserve"> ((Q15. Total) - (Q15. Client Doesn't Know/Client Refused))
2. DSS will review information submitted by provider related to any heads of household who entered from non-literally homeless situations (such as fleeing DV), to calculate final score on this criteria.</t>
    </r>
  </si>
  <si>
    <t>1. Submission of project supportive services agreement
2. Submission of project individualized service plan</t>
  </si>
  <si>
    <t>PWA CoC Renewal Project Scoring Tool
Appendix: FY25 Evaluation Standards Measure Types</t>
  </si>
  <si>
    <t>HUD Standard per FY25 NOFO</t>
  </si>
  <si>
    <t>Bonus Points (Severity of Need)</t>
  </si>
  <si>
    <t>CoC standard (not required by HUD)</t>
  </si>
  <si>
    <t>VA0324 ACTS RRH</t>
  </si>
  <si>
    <t>VA0439 DV Bonus</t>
  </si>
  <si>
    <t>VA0130 PWA Leasing</t>
  </si>
  <si>
    <t>VA0398 PWA PSH Bonus</t>
  </si>
  <si>
    <t>VA0127 PWA PASS PSH</t>
  </si>
  <si>
    <t>FY25 Renewal Project Scoring - APR Tables - Cells to Use</t>
  </si>
  <si>
    <t>Q7a: Number of Persons Served</t>
  </si>
  <si>
    <t>Q8a: Households Served</t>
  </si>
  <si>
    <t>Q8b: Point-in-Time Count of Households on the Last Wednesday</t>
  </si>
  <si>
    <t>Client Doesn't Know/Perfers Not to Answer</t>
  </si>
  <si>
    <t>Place not meant forhabitation</t>
  </si>
  <si>
    <t>1. e-snaps report
2. Sage</t>
  </si>
  <si>
    <t>1. Review of e-snaps report pulled by DSS
2. Review of Sage APR</t>
  </si>
  <si>
    <t>Returns- % exits to PH that returned to homelessness in 24 months</t>
  </si>
  <si>
    <t>Supportive Services Requirements</t>
  </si>
  <si>
    <t>Adults Who Maintained Earned Income</t>
  </si>
  <si>
    <t>Q18|Adults with Only Earned Income|Number of Adults at Annual Assessment (Stayer)</t>
  </si>
  <si>
    <t>Q18|Adults with Only Earned Income|Number of Adults at Exit (Leavers)</t>
  </si>
  <si>
    <t>Q18|Adults with Both Earned and Other Income|Number of Adults at Exit (Leavers)</t>
  </si>
  <si>
    <t>Q18|Adults with Both Earned and Other Income| Number of Adults at Annual Assessment (Stayer)</t>
  </si>
  <si>
    <t>Measure 8</t>
  </si>
  <si>
    <r>
      <t xml:space="preserve">Measures 10 
</t>
    </r>
    <r>
      <rPr>
        <i/>
        <sz val="10"/>
        <color theme="1"/>
        <rFont val="Calibri"/>
        <family val="2"/>
        <scheme val="minor"/>
      </rPr>
      <t>(RRH Only)</t>
    </r>
  </si>
  <si>
    <t>Measure 13</t>
  </si>
  <si>
    <t>Measures 11 - 13</t>
  </si>
  <si>
    <t>Supportive Services Requirements: Yes or No</t>
  </si>
  <si>
    <t>Returns - DSS Report/SPM Q2a, Q2b</t>
  </si>
  <si>
    <t>APR for 1/1/2022 - 12/31/2023: Q23c Permanent Situations - Rental by client, no ongoing housing subsidy</t>
  </si>
  <si>
    <t>APR for 1/1/2022 - 12/31/2023: Q23c Total persons exiting to positive housing destinations</t>
  </si>
  <si>
    <t>APR for 1/1/2022 - 12/31/2023: Q23c Permanent Situations - Rental by client, with ongoing housing subsidy</t>
  </si>
  <si>
    <t>APR for 1/1/2022 - 12/31/2023: Q23c Permanent Situations -  Owned by client, with ongoing housing subsidy</t>
  </si>
  <si>
    <t>APR for 1/1/2022 - 12/31/2023: Q23c Permanent Situations -  Owned by client, no ongoing housing subsidy</t>
  </si>
  <si>
    <r>
      <rPr>
        <u/>
        <sz val="11"/>
        <rFont val="Calibri"/>
        <family val="2"/>
        <scheme val="minor"/>
      </rPr>
      <t>Data Source:</t>
    </r>
    <r>
      <rPr>
        <sz val="11"/>
        <rFont val="Calibri"/>
        <family val="2"/>
        <scheme val="minor"/>
      </rPr>
      <t xml:space="preserve"> APR Q18: Client Cash Income Category - Earned/Other Income Category - by Entry and Annual Assessment/Exit Status
</t>
    </r>
    <r>
      <rPr>
        <u/>
        <sz val="11"/>
        <rFont val="Calibri"/>
        <family val="2"/>
        <scheme val="minor"/>
      </rPr>
      <t>Numerator</t>
    </r>
    <r>
      <rPr>
        <sz val="11"/>
        <rFont val="Calibri"/>
        <family val="2"/>
        <scheme val="minor"/>
      </rPr>
      <t xml:space="preserve">: ((Q18 Adults at Annual (Stayers)-Adults with Only Earned Income + Adults with Both Earned and Other Income) + (Q18 Adults at Exit (Leavers)-Adults with Only Earned Income + Adults with Both Earned and Other Income))
</t>
    </r>
    <r>
      <rPr>
        <u/>
        <sz val="11"/>
        <rFont val="Calibri"/>
        <family val="2"/>
        <scheme val="minor"/>
      </rPr>
      <t>Denominator:</t>
    </r>
    <r>
      <rPr>
        <sz val="11"/>
        <rFont val="Calibri"/>
        <family val="2"/>
        <scheme val="minor"/>
      </rPr>
      <t xml:space="preserve"> ((Q18 Adults at Annual (Stayers)-Total Adults) + (Q18 Adults at Exit (Leavers)-Total Adults) – (Q18 Adults at Annual (Stayers)-Number of adult stayers not yet required to have annual assessment) – (Q18 Adults at Annual (Stayers)-Adults with Client Doesn’t Know/Client Refused Income Information) – (Q18 Adults at Exit (Leavers)-Adults with Client Doesn’t Know/Client Refused Income Information))</t>
    </r>
  </si>
  <si>
    <t>Measure 14?</t>
  </si>
  <si>
    <t>Prince William Area CoC - FY25 Renewal Project Evaluation Report - PSH</t>
  </si>
  <si>
    <t>01/01/24 - 12/31/24</t>
  </si>
  <si>
    <t>2025 Upper Benchmark</t>
  </si>
  <si>
    <t>Supportive Services total score</t>
  </si>
  <si>
    <t>Prince William Area CoC - FY25 Renewal Project Evaluation Report - RRH</t>
  </si>
  <si>
    <t>PWA CoC FY25 Renewal Project Ranking</t>
  </si>
  <si>
    <t>Recipient Name</t>
  </si>
  <si>
    <r>
      <t>Performance Points Available</t>
    </r>
    <r>
      <rPr>
        <b/>
        <sz val="11"/>
        <color rgb="FFFF0000"/>
        <rFont val="Calibri"/>
        <family val="2"/>
        <scheme val="minor"/>
      </rPr>
      <t>*</t>
    </r>
  </si>
  <si>
    <t>Performance Points Earned</t>
  </si>
  <si>
    <t>Bonus Points Earned</t>
  </si>
  <si>
    <t>Score</t>
  </si>
  <si>
    <t>Rank</t>
  </si>
  <si>
    <t>HMIS</t>
  </si>
  <si>
    <t>CoC Planning</t>
  </si>
  <si>
    <r>
      <rPr>
        <u/>
        <sz val="11"/>
        <color theme="1"/>
        <rFont val="Calibri"/>
        <family val="2"/>
        <scheme val="minor"/>
      </rPr>
      <t>Data Source:</t>
    </r>
    <r>
      <rPr>
        <sz val="11"/>
        <color theme="1"/>
        <rFont val="Calibri"/>
        <family val="2"/>
        <scheme val="minor"/>
      </rPr>
      <t xml:space="preserve"> APR Q23c: Exit Destination; SPM Q2a, Q2b: The Extent to which Persons Who Exit Homelessness to Permanent Housing Return to Homelessness within 6, 12, 24 months; DSS Report
</t>
    </r>
    <r>
      <rPr>
        <u/>
        <sz val="11"/>
        <color theme="1"/>
        <rFont val="Calibri"/>
        <family val="2"/>
        <scheme val="minor"/>
      </rPr>
      <t>Numerator:</t>
    </r>
    <r>
      <rPr>
        <sz val="11"/>
        <color theme="1"/>
        <rFont val="Calibri"/>
        <family val="2"/>
        <scheme val="minor"/>
      </rPr>
      <t xml:space="preserve"> Count of persons identified on the DSS Report as exiting to permanent housing during calendar years 2022-2023 and returning to homelessness in calendar year 2024. DSS Report developed utilizing Q2a, Q2b of the HMIS SPM Report (Row 5: Exit was from PH, Column 8: Number of Returns in 2 Years)
</t>
    </r>
    <r>
      <rPr>
        <u/>
        <sz val="11"/>
        <color theme="1"/>
        <rFont val="Calibri"/>
        <family val="2"/>
        <scheme val="minor"/>
      </rPr>
      <t>Denominator:</t>
    </r>
    <r>
      <rPr>
        <sz val="11"/>
        <color theme="1"/>
        <rFont val="Calibri"/>
        <family val="2"/>
        <scheme val="minor"/>
      </rPr>
      <t xml:space="preserve"> ((Q23c Permanent Situations - Rental by client, no ongoing housing subsidy) + (Q23c Permanent Situations - Rental by client, with ongoing housing subsidy) + (Q23c Permanent Situations - Owned by client, with ongoing housing subsidy) + (Q23c Permanent Situations - Owned by client, no ongoing housing subsidy))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</si>
</sst>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_(* #,##0.0_);_(* \(#,##0.0\);_(* &quot;-&quot;??_);_(@_)"/>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font>
    <font>
      <b/>
      <sz val="14"/>
      <color rgb="FF000000"/>
      <name val="Calibri"/>
      <family val="2"/>
    </font>
    <font>
      <b/>
      <sz val="18"/>
      <color rgb="FF000000"/>
      <name val="Calibri"/>
      <family val="2"/>
    </font>
    <font>
      <b/>
      <sz val="18"/>
      <color theme="1"/>
      <name val="Calibri"/>
      <family val="2"/>
      <scheme val="minor"/>
    </font>
    <font>
      <b/>
      <sz val="12"/>
      <color rgb="FF000000"/>
      <name val="Calibri"/>
      <family val="2"/>
    </font>
    <font>
      <sz val="11"/>
      <color rgb="FF000000"/>
      <name val="Calibri"/>
      <family val="2"/>
    </font>
    <font>
      <b/>
      <sz val="11"/>
      <color rgb="FF000000"/>
      <name val="Calibri"/>
      <family val="2"/>
    </font>
    <font>
      <b/>
      <vertAlign val="superscript"/>
      <sz val="12"/>
      <color rgb="FF000000"/>
      <name val="Calibri"/>
      <family val="2"/>
    </font>
    <font>
      <b/>
      <sz val="12"/>
      <color theme="1"/>
      <name val="Calibri"/>
      <family val="2"/>
      <scheme val="minor"/>
    </font>
    <font>
      <b/>
      <sz val="14"/>
      <color theme="1"/>
      <name val="Calibri"/>
      <family val="2"/>
      <scheme val="minor"/>
    </font>
    <font>
      <b/>
      <vertAlign val="superscript"/>
      <sz val="14"/>
      <color rgb="FF000000"/>
      <name val="Calibri"/>
      <family val="2"/>
    </font>
    <font>
      <b/>
      <sz val="14"/>
      <color rgb="FFFF0000"/>
      <name val="Calibri"/>
      <family val="2"/>
    </font>
    <font>
      <sz val="11"/>
      <name val="Calibri"/>
      <family val="2"/>
      <scheme val="minor"/>
    </font>
    <font>
      <b/>
      <sz val="11"/>
      <color theme="0"/>
      <name val="Calibri"/>
      <family val="2"/>
      <scheme val="minor"/>
    </font>
    <font>
      <b/>
      <sz val="11"/>
      <name val="Calibri"/>
      <family val="2"/>
      <scheme val="minor"/>
    </font>
    <font>
      <b/>
      <sz val="11"/>
      <color rgb="FFFF0000"/>
      <name val="Calibri"/>
      <family val="2"/>
    </font>
    <font>
      <b/>
      <vertAlign val="superscript"/>
      <sz val="11"/>
      <color rgb="FF000000"/>
      <name val="Calibri"/>
      <family val="2"/>
    </font>
    <font>
      <b/>
      <sz val="11"/>
      <color theme="0"/>
      <name val="Calibri"/>
      <family val="2"/>
    </font>
    <font>
      <b/>
      <sz val="11"/>
      <name val="Calibri"/>
      <family val="2"/>
    </font>
    <font>
      <sz val="11"/>
      <color rgb="FF000000"/>
      <name val="Calibri"/>
      <family val="2"/>
      <charset val="204"/>
    </font>
    <font>
      <b/>
      <sz val="11"/>
      <color rgb="FFFFFFFF"/>
      <name val="Calibri"/>
      <family val="2"/>
    </font>
    <font>
      <u/>
      <sz val="11"/>
      <color theme="10"/>
      <name val="Calibri"/>
      <family val="2"/>
      <scheme val="minor"/>
    </font>
    <font>
      <b/>
      <i/>
      <sz val="11"/>
      <name val="Calibri"/>
      <family val="2"/>
    </font>
    <font>
      <sz val="11"/>
      <color theme="0"/>
      <name val="Calibri"/>
      <family val="2"/>
    </font>
    <font>
      <b/>
      <i/>
      <sz val="11"/>
      <color rgb="FF000000"/>
      <name val="Calibri"/>
      <family val="2"/>
    </font>
    <font>
      <u/>
      <sz val="11"/>
      <color theme="1"/>
      <name val="Calibri"/>
      <family val="2"/>
      <scheme val="minor"/>
    </font>
    <font>
      <b/>
      <i/>
      <sz val="11"/>
      <color theme="1"/>
      <name val="Calibri"/>
      <family val="2"/>
      <scheme val="minor"/>
    </font>
    <font>
      <b/>
      <sz val="11"/>
      <color rgb="FF000000"/>
      <name val="Calibri"/>
      <family val="2"/>
      <scheme val="minor"/>
    </font>
    <font>
      <b/>
      <i/>
      <sz val="11"/>
      <color rgb="FF000000"/>
      <name val="Calibri"/>
      <family val="2"/>
      <scheme val="minor"/>
    </font>
    <font>
      <b/>
      <sz val="12"/>
      <color rgb="FF000000"/>
      <name val="Calibri"/>
      <family val="2"/>
      <scheme val="minor"/>
    </font>
    <font>
      <b/>
      <sz val="10"/>
      <color rgb="FF000000"/>
      <name val="Calibri"/>
      <family val="2"/>
    </font>
    <font>
      <b/>
      <sz val="11"/>
      <color rgb="FFFFFF00"/>
      <name val="Calibri"/>
      <family val="2"/>
    </font>
    <font>
      <i/>
      <sz val="11"/>
      <color rgb="FF000000"/>
      <name val="Calibri"/>
      <family val="2"/>
    </font>
    <font>
      <b/>
      <sz val="10"/>
      <color rgb="FF000000"/>
      <name val="Calibri"/>
      <family val="2"/>
      <scheme val="minor"/>
    </font>
    <font>
      <b/>
      <sz val="12"/>
      <color theme="0"/>
      <name val="Calibri"/>
      <family val="2"/>
      <scheme val="minor"/>
    </font>
    <font>
      <b/>
      <sz val="8"/>
      <color theme="1"/>
      <name val="Calibri"/>
      <family val="2"/>
      <scheme val="minor"/>
    </font>
    <font>
      <b/>
      <sz val="9"/>
      <color theme="0"/>
      <name val="Calibri"/>
      <family val="2"/>
      <scheme val="minor"/>
    </font>
    <font>
      <b/>
      <sz val="12"/>
      <name val="Calibri"/>
      <family val="2"/>
    </font>
    <font>
      <sz val="10"/>
      <color theme="1"/>
      <name val="Calibri"/>
      <family val="2"/>
      <scheme val="minor"/>
    </font>
    <font>
      <b/>
      <sz val="10"/>
      <color theme="1"/>
      <name val="Calibri"/>
      <family val="2"/>
      <scheme val="minor"/>
    </font>
    <font>
      <sz val="11"/>
      <color theme="1"/>
      <name val="Calibri"/>
      <family val="2"/>
    </font>
    <font>
      <sz val="11"/>
      <color rgb="FF212529"/>
      <name val="Calibri"/>
      <family val="2"/>
    </font>
    <font>
      <b/>
      <sz val="11"/>
      <color rgb="FF212529"/>
      <name val="Calibri"/>
      <family val="2"/>
    </font>
    <font>
      <b/>
      <sz val="12"/>
      <color theme="0"/>
      <name val="Calibri"/>
      <family val="2"/>
    </font>
    <font>
      <u/>
      <sz val="11"/>
      <color theme="0"/>
      <name val="Calibri"/>
      <family val="2"/>
    </font>
    <font>
      <sz val="8"/>
      <name val="Calibri"/>
      <family val="2"/>
      <scheme val="minor"/>
    </font>
    <font>
      <i/>
      <sz val="9"/>
      <color theme="1"/>
      <name val="Calibri"/>
      <family val="2"/>
      <scheme val="minor"/>
    </font>
    <font>
      <b/>
      <sz val="11"/>
      <color theme="1"/>
      <name val="Calibri"/>
      <family val="2"/>
    </font>
    <font>
      <i/>
      <sz val="10"/>
      <color theme="1"/>
      <name val="Calibri"/>
      <family val="2"/>
      <scheme val="minor"/>
    </font>
    <font>
      <u/>
      <sz val="11"/>
      <name val="Calibri"/>
      <family val="2"/>
      <scheme val="minor"/>
    </font>
    <font>
      <sz val="11"/>
      <color theme="0"/>
      <name val="Calibri"/>
      <family val="2"/>
      <scheme val="minor"/>
    </font>
    <font>
      <b/>
      <i/>
      <sz val="11"/>
      <color theme="1"/>
      <name val="Calibri"/>
      <family val="2"/>
    </font>
    <font>
      <b/>
      <sz val="11"/>
      <color rgb="FFFF0000"/>
      <name val="Calibri"/>
      <family val="2"/>
      <scheme val="minor"/>
    </font>
    <font>
      <sz val="9"/>
      <color indexed="81"/>
      <name val="Tahoma"/>
      <family val="2"/>
    </font>
  </fonts>
  <fills count="34">
    <fill>
      <patternFill patternType="none"/>
    </fill>
    <fill>
      <patternFill patternType="gray125"/>
    </fill>
    <fill>
      <patternFill patternType="solid">
        <fgColor theme="1"/>
        <bgColor indexed="64"/>
      </patternFill>
    </fill>
    <fill>
      <patternFill patternType="solid">
        <fgColor rgb="FFD6E3BC"/>
        <bgColor indexed="64"/>
      </patternFill>
    </fill>
    <fill>
      <patternFill patternType="solid">
        <fgColor rgb="FF9ABA58"/>
        <bgColor indexed="64"/>
      </patternFill>
    </fill>
    <fill>
      <patternFill patternType="solid">
        <fgColor rgb="FFFFFF00"/>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FF000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002060"/>
        <bgColor indexed="64"/>
      </patternFill>
    </fill>
    <fill>
      <patternFill patternType="solid">
        <fgColor theme="9"/>
        <bgColor indexed="64"/>
      </patternFill>
    </fill>
    <fill>
      <patternFill patternType="solid">
        <fgColor theme="4" tint="-0.499984740745262"/>
        <bgColor indexed="64"/>
      </patternFill>
    </fill>
    <fill>
      <patternFill patternType="solid">
        <fgColor theme="2" tint="-0.74999237037263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9" tint="0.79998168889431442"/>
        <bgColor indexed="64"/>
      </patternFill>
    </fill>
  </fills>
  <borders count="21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0"/>
      </right>
      <top style="thin">
        <color indexed="64"/>
      </top>
      <bottom/>
      <diagonal/>
    </border>
    <border>
      <left style="thin">
        <color indexed="0"/>
      </left>
      <right style="thin">
        <color indexed="0"/>
      </right>
      <top style="thin">
        <color indexed="64"/>
      </top>
      <bottom/>
      <diagonal/>
    </border>
    <border>
      <left style="thin">
        <color indexed="0"/>
      </left>
      <right style="thin">
        <color indexed="0"/>
      </right>
      <top style="thin">
        <color indexed="64"/>
      </top>
      <bottom style="thin">
        <color indexed="0"/>
      </bottom>
      <diagonal/>
    </border>
    <border>
      <left style="thin">
        <color indexed="0"/>
      </left>
      <right style="thin">
        <color indexed="64"/>
      </right>
      <top style="thin">
        <color indexed="64"/>
      </top>
      <bottom style="thin">
        <color indexed="0"/>
      </bottom>
      <diagonal/>
    </border>
    <border>
      <left style="thin">
        <color indexed="64"/>
      </left>
      <right/>
      <top/>
      <bottom/>
      <diagonal/>
    </border>
    <border>
      <left/>
      <right style="thin">
        <color indexed="0"/>
      </right>
      <top/>
      <bottom/>
      <diagonal/>
    </border>
    <border>
      <left style="thin">
        <color indexed="0"/>
      </left>
      <right style="thin">
        <color indexed="0"/>
      </right>
      <top/>
      <bottom/>
      <diagonal/>
    </border>
    <border>
      <left style="thin">
        <color indexed="0"/>
      </left>
      <right style="thin">
        <color indexed="0"/>
      </right>
      <top style="thin">
        <color indexed="0"/>
      </top>
      <bottom style="thin">
        <color indexed="0"/>
      </bottom>
      <diagonal/>
    </border>
    <border>
      <left style="thin">
        <color indexed="0"/>
      </left>
      <right style="thin">
        <color indexed="64"/>
      </right>
      <top style="thin">
        <color indexed="0"/>
      </top>
      <bottom style="thin">
        <color indexed="0"/>
      </bottom>
      <diagonal/>
    </border>
    <border>
      <left style="thin">
        <color indexed="64"/>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64"/>
      </left>
      <right/>
      <top style="thin">
        <color indexed="0"/>
      </top>
      <bottom/>
      <diagonal/>
    </border>
    <border>
      <left/>
      <right/>
      <top style="thin">
        <color indexed="0"/>
      </top>
      <bottom/>
      <diagonal/>
    </border>
    <border>
      <left/>
      <right style="thin">
        <color indexed="64"/>
      </right>
      <top style="thin">
        <color indexed="0"/>
      </top>
      <bottom/>
      <diagonal/>
    </border>
    <border>
      <left/>
      <right style="thin">
        <color indexed="64"/>
      </right>
      <top/>
      <bottom/>
      <diagonal/>
    </border>
    <border>
      <left style="thin">
        <color indexed="64"/>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auto="1"/>
      </left>
      <right style="thin">
        <color auto="1"/>
      </right>
      <top style="thin">
        <color auto="1"/>
      </top>
      <bottom style="thin">
        <color auto="1"/>
      </bottom>
      <diagonal/>
    </border>
    <border>
      <left style="thin">
        <color indexed="0"/>
      </left>
      <right/>
      <top style="thin">
        <color indexed="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64"/>
      </right>
      <top/>
      <bottom style="thin">
        <color indexed="0"/>
      </bottom>
      <diagonal/>
    </border>
    <border>
      <left style="thin">
        <color indexed="0"/>
      </left>
      <right style="thin">
        <color indexed="0"/>
      </right>
      <top style="thin">
        <color indexed="0"/>
      </top>
      <bottom/>
      <diagonal/>
    </border>
    <border>
      <left/>
      <right/>
      <top style="thin">
        <color indexed="64"/>
      </top>
      <bottom style="thin">
        <color indexed="64"/>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indexed="64"/>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ck">
        <color auto="1"/>
      </left>
      <right style="thin">
        <color auto="1"/>
      </right>
      <top style="thick">
        <color auto="1"/>
      </top>
      <bottom style="thin">
        <color auto="1"/>
      </bottom>
      <diagonal/>
    </border>
    <border>
      <left style="thick">
        <color auto="1"/>
      </left>
      <right/>
      <top style="thin">
        <color auto="1"/>
      </top>
      <bottom style="thin">
        <color auto="1"/>
      </bottom>
      <diagonal/>
    </border>
    <border>
      <left style="thick">
        <color rgb="FFFF0000"/>
      </left>
      <right style="thick">
        <color rgb="FFFF0000"/>
      </right>
      <top style="thick">
        <color rgb="FFFF0000"/>
      </top>
      <bottom style="thick">
        <color rgb="FFFF0000"/>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style="thin">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bottom/>
      <diagonal/>
    </border>
    <border>
      <left style="thin">
        <color auto="1"/>
      </left>
      <right/>
      <top/>
      <bottom/>
      <diagonal/>
    </border>
    <border>
      <left style="thick">
        <color auto="1"/>
      </left>
      <right/>
      <top/>
      <bottom style="thick">
        <color auto="1"/>
      </bottom>
      <diagonal/>
    </border>
    <border>
      <left/>
      <right style="thin">
        <color auto="1"/>
      </right>
      <top/>
      <bottom style="thick">
        <color auto="1"/>
      </bottom>
      <diagonal/>
    </border>
    <border>
      <left style="thin">
        <color auto="1"/>
      </left>
      <right style="thick">
        <color auto="1"/>
      </right>
      <top/>
      <bottom style="thick">
        <color auto="1"/>
      </bottom>
      <diagonal/>
    </border>
    <border>
      <left/>
      <right style="thin">
        <color indexed="64"/>
      </right>
      <top style="thin">
        <color indexed="0"/>
      </top>
      <bottom style="thin">
        <color indexed="0"/>
      </bottom>
      <diagonal/>
    </border>
    <border>
      <left style="thin">
        <color indexed="64"/>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style="thin">
        <color indexed="0"/>
      </right>
      <top style="thin">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top/>
      <bottom style="thin">
        <color indexed="0"/>
      </bottom>
      <diagonal/>
    </border>
    <border>
      <left style="thin">
        <color auto="1"/>
      </left>
      <right style="thin">
        <color auto="1"/>
      </right>
      <top/>
      <bottom style="thin">
        <color auto="1"/>
      </bottom>
      <diagonal/>
    </border>
    <border>
      <left style="thin">
        <color indexed="0"/>
      </left>
      <right style="thin">
        <color indexed="0"/>
      </right>
      <top/>
      <bottom style="thin">
        <color indexed="0"/>
      </bottom>
      <diagonal/>
    </border>
    <border>
      <left style="thin">
        <color indexed="0"/>
      </left>
      <right style="thin">
        <color indexed="64"/>
      </right>
      <top/>
      <bottom style="thin">
        <color indexed="0"/>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right style="thin">
        <color auto="1"/>
      </right>
      <top style="thin">
        <color auto="1"/>
      </top>
      <bottom/>
      <diagonal/>
    </border>
    <border>
      <left style="thin">
        <color indexed="64"/>
      </left>
      <right/>
      <top style="thin">
        <color auto="1"/>
      </top>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rgb="FFBBBBBB"/>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top/>
      <bottom style="thin">
        <color indexed="64"/>
      </bottom>
      <diagonal/>
    </border>
    <border>
      <left style="thin">
        <color indexed="0"/>
      </left>
      <right style="thin">
        <color indexed="0"/>
      </right>
      <top style="thin">
        <color indexed="0"/>
      </top>
      <bottom/>
      <diagonal/>
    </border>
    <border>
      <left style="thin">
        <color indexed="64"/>
      </left>
      <right/>
      <top style="thin">
        <color indexed="0"/>
      </top>
      <bottom style="thin">
        <color indexed="64"/>
      </bottom>
      <diagonal/>
    </border>
    <border>
      <left/>
      <right/>
      <top style="thin">
        <color indexed="0"/>
      </top>
      <bottom style="thin">
        <color indexed="64"/>
      </bottom>
      <diagonal/>
    </border>
    <border>
      <left/>
      <right style="thin">
        <color indexed="64"/>
      </right>
      <top style="thin">
        <color indexed="0"/>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0"/>
      </top>
      <bottom/>
      <diagonal/>
    </border>
    <border>
      <left/>
      <right/>
      <top style="thin">
        <color indexed="0"/>
      </top>
      <bottom/>
      <diagonal/>
    </border>
    <border>
      <left/>
      <right style="thin">
        <color indexed="0"/>
      </right>
      <top style="thin">
        <color indexed="0"/>
      </top>
      <bottom/>
      <diagonal/>
    </border>
    <border>
      <left/>
      <right style="thin">
        <color indexed="0"/>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auto="1"/>
      </left>
      <right/>
      <top style="thin">
        <color indexed="0"/>
      </top>
      <bottom style="thin">
        <color auto="1"/>
      </bottom>
      <diagonal/>
    </border>
    <border>
      <left/>
      <right/>
      <top style="thin">
        <color indexed="0"/>
      </top>
      <bottom style="thin">
        <color auto="1"/>
      </bottom>
      <diagonal/>
    </border>
    <border>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indexed="64"/>
      </bottom>
      <diagonal/>
    </border>
    <border>
      <left style="thin">
        <color indexed="64"/>
      </left>
      <right/>
      <top/>
      <bottom style="thin">
        <color indexed="64"/>
      </bottom>
      <diagonal/>
    </border>
    <border>
      <left style="thick">
        <color auto="1"/>
      </left>
      <right/>
      <top style="thick">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ck">
        <color rgb="FFFF0000"/>
      </left>
      <right style="thick">
        <color auto="1"/>
      </right>
      <top style="thick">
        <color rgb="FFFF0000"/>
      </top>
      <bottom style="thick">
        <color rgb="FFFF0000"/>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top style="thin">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n">
        <color auto="1"/>
      </left>
      <right style="thin">
        <color auto="1"/>
      </right>
      <top style="thick">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right style="thick">
        <color auto="1"/>
      </right>
      <top/>
      <bottom/>
      <diagonal/>
    </border>
    <border>
      <left style="thin">
        <color auto="1"/>
      </left>
      <right/>
      <top style="thin">
        <color auto="1"/>
      </top>
      <bottom style="thin">
        <color auto="1"/>
      </bottom>
      <diagonal/>
    </border>
    <border>
      <left style="thin">
        <color auto="1"/>
      </left>
      <right style="thick">
        <color auto="1"/>
      </right>
      <top/>
      <bottom/>
      <diagonal/>
    </border>
    <border>
      <left style="thin">
        <color auto="1"/>
      </left>
      <right/>
      <top style="thin">
        <color auto="1"/>
      </top>
      <bottom style="thick">
        <color auto="1"/>
      </bottom>
      <diagonal/>
    </border>
    <border>
      <left style="thin">
        <color indexed="64"/>
      </left>
      <right/>
      <top/>
      <bottom style="thin">
        <color rgb="FF000000"/>
      </bottom>
      <diagonal/>
    </border>
    <border>
      <left/>
      <right/>
      <top/>
      <bottom style="thin">
        <color rgb="FF000000"/>
      </bottom>
      <diagonal/>
    </border>
    <border>
      <left style="thin">
        <color indexed="64"/>
      </left>
      <right/>
      <top style="thin">
        <color rgb="FF000000"/>
      </top>
      <bottom/>
      <diagonal/>
    </border>
    <border>
      <left/>
      <right/>
      <top style="thin">
        <color rgb="FF000000"/>
      </top>
      <bottom/>
      <diagonal/>
    </border>
    <border>
      <left style="thin">
        <color indexed="64"/>
      </left>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0"/>
      </top>
      <bottom style="thin">
        <color indexed="0"/>
      </bottom>
      <diagonal/>
    </border>
    <border>
      <left/>
      <right/>
      <top style="thin">
        <color indexed="0"/>
      </top>
      <bottom style="thin">
        <color indexed="0"/>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style="thin">
        <color indexed="0"/>
      </top>
      <bottom style="thin">
        <color indexed="0"/>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bottom style="thin">
        <color rgb="FF000000"/>
      </bottom>
      <diagonal/>
    </border>
    <border>
      <left/>
      <right style="thin">
        <color indexed="64"/>
      </right>
      <top style="thin">
        <color rgb="FF000000"/>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rgb="FF000000"/>
      </left>
      <right/>
      <top style="thin">
        <color auto="1"/>
      </top>
      <bottom style="thin">
        <color rgb="FF000000"/>
      </bottom>
      <diagonal/>
    </border>
    <border>
      <left/>
      <right style="thin">
        <color indexed="64"/>
      </right>
      <top style="thin">
        <color auto="1"/>
      </top>
      <bottom style="thin">
        <color rgb="FF000000"/>
      </bottom>
      <diagonal/>
    </border>
    <border>
      <left/>
      <right style="thin">
        <color auto="1"/>
      </right>
      <top/>
      <bottom/>
      <diagonal/>
    </border>
    <border>
      <left style="thin">
        <color auto="1"/>
      </left>
      <right style="thin">
        <color auto="1"/>
      </right>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auto="1"/>
      </left>
      <right style="thick">
        <color rgb="FFFF0000"/>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ck">
        <color auto="1"/>
      </bottom>
      <diagonal/>
    </border>
    <border>
      <left style="thick">
        <color auto="1"/>
      </left>
      <right/>
      <top style="thin">
        <color auto="1"/>
      </top>
      <bottom style="thick">
        <color auto="1"/>
      </bottom>
      <diagonal/>
    </border>
    <border>
      <left style="thin">
        <color theme="1"/>
      </left>
      <right style="thin">
        <color theme="1"/>
      </right>
      <top style="thick">
        <color rgb="FFFF0000"/>
      </top>
      <bottom style="thin">
        <color theme="1"/>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9" fontId="9" fillId="0" borderId="0">
      <alignment vertical="top"/>
      <protection locked="0"/>
    </xf>
    <xf numFmtId="0" fontId="23" fillId="0" borderId="0"/>
    <xf numFmtId="0" fontId="25" fillId="0" borderId="0" applyNumberFormat="0" applyFill="0" applyBorder="0" applyAlignment="0" applyProtection="0"/>
  </cellStyleXfs>
  <cellXfs count="920">
    <xf numFmtId="0" fontId="0" fillId="0" borderId="0" xfId="0"/>
    <xf numFmtId="0" fontId="12" fillId="0" borderId="0" xfId="0" applyFont="1" applyAlignment="1">
      <alignment horizontal="center" vertical="center"/>
    </xf>
    <xf numFmtId="0" fontId="0" fillId="7" borderId="0" xfId="0" applyFill="1"/>
    <xf numFmtId="0" fontId="12" fillId="7" borderId="0" xfId="0" applyFont="1" applyFill="1" applyAlignment="1">
      <alignment horizontal="center" vertical="center"/>
    </xf>
    <xf numFmtId="0" fontId="7" fillId="0" borderId="0" xfId="0" applyFont="1"/>
    <xf numFmtId="0" fontId="7" fillId="7" borderId="0" xfId="0" applyFont="1" applyFill="1"/>
    <xf numFmtId="0" fontId="13" fillId="0" borderId="0" xfId="0" applyFont="1" applyAlignment="1">
      <alignment horizontal="center"/>
    </xf>
    <xf numFmtId="0" fontId="13" fillId="0" borderId="0" xfId="0" applyFont="1"/>
    <xf numFmtId="0" fontId="13" fillId="7" borderId="0" xfId="0" applyFont="1" applyFill="1"/>
    <xf numFmtId="0" fontId="13" fillId="0" borderId="0" xfId="0" applyFont="1" applyAlignment="1">
      <alignment horizontal="right" indent="2"/>
    </xf>
    <xf numFmtId="0" fontId="13" fillId="0" borderId="0" xfId="0" applyFont="1" applyAlignment="1">
      <alignment horizontal="right" indent="1"/>
    </xf>
    <xf numFmtId="0" fontId="13" fillId="0" borderId="0" xfId="0" applyFont="1" applyAlignment="1">
      <alignment horizontal="right"/>
    </xf>
    <xf numFmtId="0" fontId="0" fillId="5" borderId="0" xfId="0" applyFill="1"/>
    <xf numFmtId="0" fontId="8" fillId="3" borderId="10" xfId="3" applyFont="1" applyFill="1" applyBorder="1" applyAlignment="1">
      <alignment horizontal="center" vertical="center"/>
    </xf>
    <xf numFmtId="0" fontId="0" fillId="9" borderId="0" xfId="0" applyFill="1" applyAlignment="1">
      <alignment horizontal="center"/>
    </xf>
    <xf numFmtId="0" fontId="0" fillId="0" borderId="0" xfId="0" applyAlignment="1">
      <alignment horizontal="center" wrapText="1"/>
    </xf>
    <xf numFmtId="9" fontId="8" fillId="0" borderId="23" xfId="4" applyFont="1" applyBorder="1" applyAlignment="1" applyProtection="1">
      <alignment horizontal="center" vertical="center" wrapText="1"/>
    </xf>
    <xf numFmtId="9" fontId="7" fillId="0" borderId="24" xfId="2" applyFont="1" applyFill="1" applyBorder="1" applyAlignment="1">
      <alignment horizontal="center" vertical="center"/>
    </xf>
    <xf numFmtId="0" fontId="6" fillId="0" borderId="11" xfId="3" applyFont="1" applyBorder="1" applyAlignment="1">
      <alignment horizontal="center" vertical="center"/>
    </xf>
    <xf numFmtId="9" fontId="6" fillId="0" borderId="23" xfId="4" applyFont="1" applyBorder="1" applyAlignment="1" applyProtection="1">
      <alignment horizontal="center" vertical="center"/>
    </xf>
    <xf numFmtId="9" fontId="6" fillId="0" borderId="11" xfId="4" applyFont="1" applyBorder="1" applyAlignment="1" applyProtection="1">
      <alignment horizontal="center" vertical="center"/>
    </xf>
    <xf numFmtId="9" fontId="5" fillId="0" borderId="23" xfId="4" applyFont="1" applyBorder="1" applyAlignment="1" applyProtection="1">
      <alignment horizontal="center" vertical="center" wrapText="1"/>
    </xf>
    <xf numFmtId="1" fontId="6" fillId="3" borderId="11" xfId="4" applyNumberFormat="1" applyFont="1" applyFill="1" applyBorder="1" applyAlignment="1" applyProtection="1">
      <alignment horizontal="center" vertical="center"/>
    </xf>
    <xf numFmtId="1" fontId="6" fillId="3" borderId="12" xfId="4" applyNumberFormat="1" applyFont="1" applyFill="1" applyBorder="1" applyAlignment="1" applyProtection="1">
      <alignment horizontal="center" vertical="center"/>
    </xf>
    <xf numFmtId="0" fontId="6" fillId="3" borderId="11" xfId="4" applyNumberFormat="1" applyFont="1" applyFill="1" applyBorder="1" applyAlignment="1" applyProtection="1">
      <alignment horizontal="center" vertical="center"/>
    </xf>
    <xf numFmtId="164" fontId="6" fillId="3" borderId="12" xfId="4" applyNumberFormat="1" applyFont="1" applyFill="1" applyBorder="1" applyAlignment="1" applyProtection="1">
      <alignment horizontal="center" vertical="center"/>
    </xf>
    <xf numFmtId="9" fontId="8" fillId="0" borderId="25" xfId="4" applyFont="1" applyBorder="1" applyAlignment="1" applyProtection="1">
      <alignment horizontal="center" vertical="center" wrapText="1"/>
    </xf>
    <xf numFmtId="1" fontId="6" fillId="3" borderId="15" xfId="4" applyNumberFormat="1" applyFont="1" applyFill="1" applyBorder="1" applyAlignment="1" applyProtection="1">
      <alignment horizontal="center" vertical="center"/>
    </xf>
    <xf numFmtId="1" fontId="6" fillId="3" borderId="28" xfId="4" applyNumberFormat="1" applyFont="1" applyFill="1" applyBorder="1" applyAlignment="1" applyProtection="1">
      <alignment horizontal="center" vertical="center"/>
    </xf>
    <xf numFmtId="9" fontId="6" fillId="0" borderId="23" xfId="4" applyFont="1" applyBorder="1" applyAlignment="1" applyProtection="1">
      <alignment horizontal="center" vertical="center" wrapText="1"/>
    </xf>
    <xf numFmtId="9" fontId="8" fillId="3" borderId="29" xfId="4" applyFont="1" applyFill="1" applyBorder="1" applyAlignment="1" applyProtection="1">
      <alignment horizontal="left"/>
    </xf>
    <xf numFmtId="0" fontId="0" fillId="10" borderId="0" xfId="0" applyFill="1"/>
    <xf numFmtId="0" fontId="2" fillId="11" borderId="0" xfId="0" applyFont="1" applyFill="1"/>
    <xf numFmtId="0" fontId="8" fillId="0" borderId="0" xfId="3" applyFont="1" applyAlignment="1">
      <alignment vertical="center"/>
    </xf>
    <xf numFmtId="1" fontId="7" fillId="0" borderId="24" xfId="2" applyNumberFormat="1" applyFont="1" applyBorder="1" applyAlignment="1">
      <alignment horizontal="center" vertical="center"/>
    </xf>
    <xf numFmtId="9" fontId="6" fillId="0" borderId="24" xfId="4" applyFont="1" applyBorder="1" applyAlignment="1" applyProtection="1">
      <alignment horizontal="center" vertical="center"/>
    </xf>
    <xf numFmtId="1" fontId="6" fillId="3" borderId="11" xfId="4" applyNumberFormat="1" applyFont="1" applyFill="1" applyBorder="1" applyAlignment="1" applyProtection="1">
      <alignment horizontal="center"/>
    </xf>
    <xf numFmtId="166" fontId="0" fillId="0" borderId="0" xfId="1" applyNumberFormat="1" applyFont="1"/>
    <xf numFmtId="14" fontId="13" fillId="0" borderId="0" xfId="0" applyNumberFormat="1" applyFont="1"/>
    <xf numFmtId="165" fontId="7" fillId="0" borderId="24" xfId="2" applyNumberFormat="1" applyFont="1" applyFill="1" applyBorder="1" applyAlignment="1">
      <alignment horizontal="center" vertical="center"/>
    </xf>
    <xf numFmtId="9" fontId="8" fillId="3" borderId="36" xfId="4" applyFont="1" applyFill="1" applyBorder="1" applyAlignment="1" applyProtection="1">
      <alignment horizontal="left"/>
    </xf>
    <xf numFmtId="0" fontId="6" fillId="3" borderId="36" xfId="4" applyNumberFormat="1" applyFont="1" applyFill="1" applyBorder="1" applyAlignment="1" applyProtection="1">
      <alignment horizontal="center" vertical="center"/>
    </xf>
    <xf numFmtId="0" fontId="6" fillId="3" borderId="37" xfId="4" applyNumberFormat="1" applyFont="1" applyFill="1" applyBorder="1" applyAlignment="1" applyProtection="1">
      <alignment horizontal="center" vertical="center"/>
    </xf>
    <xf numFmtId="9" fontId="8" fillId="0" borderId="36" xfId="4" applyFont="1" applyBorder="1" applyAlignment="1" applyProtection="1">
      <alignment horizontal="left"/>
    </xf>
    <xf numFmtId="0" fontId="6" fillId="0" borderId="36" xfId="4" applyNumberFormat="1" applyFont="1" applyBorder="1" applyAlignment="1" applyProtection="1">
      <alignment horizontal="center" vertical="center"/>
    </xf>
    <xf numFmtId="0" fontId="6" fillId="0" borderId="37" xfId="4" applyNumberFormat="1" applyFont="1" applyBorder="1" applyAlignment="1" applyProtection="1">
      <alignment horizontal="center" vertical="center"/>
    </xf>
    <xf numFmtId="164" fontId="6" fillId="0" borderId="12" xfId="4" applyNumberFormat="1" applyFont="1" applyBorder="1" applyAlignment="1" applyProtection="1">
      <alignment horizontal="center" vertical="center"/>
    </xf>
    <xf numFmtId="0" fontId="13" fillId="5" borderId="0" xfId="0" applyFont="1" applyFill="1" applyAlignment="1">
      <alignment horizontal="right"/>
    </xf>
    <xf numFmtId="0" fontId="0" fillId="0" borderId="0" xfId="0" applyAlignment="1">
      <alignment vertical="center"/>
    </xf>
    <xf numFmtId="1" fontId="0" fillId="0" borderId="0" xfId="0" applyNumberFormat="1"/>
    <xf numFmtId="1" fontId="0" fillId="0" borderId="1" xfId="0" applyNumberFormat="1" applyBorder="1"/>
    <xf numFmtId="0" fontId="0" fillId="0" borderId="0" xfId="0" applyAlignment="1">
      <alignment wrapText="1"/>
    </xf>
    <xf numFmtId="1" fontId="0" fillId="0" borderId="33" xfId="0" applyNumberFormat="1" applyBorder="1"/>
    <xf numFmtId="0" fontId="10" fillId="4" borderId="45" xfId="3" applyFont="1" applyFill="1" applyBorder="1" applyAlignment="1">
      <alignment horizontal="center"/>
    </xf>
    <xf numFmtId="0" fontId="9" fillId="6" borderId="8" xfId="3" applyFont="1" applyFill="1" applyBorder="1"/>
    <xf numFmtId="0" fontId="10" fillId="4" borderId="32" xfId="3" applyFont="1" applyFill="1" applyBorder="1" applyAlignment="1">
      <alignment horizontal="center"/>
    </xf>
    <xf numFmtId="0" fontId="2" fillId="0" borderId="0" xfId="0" applyFont="1" applyAlignment="1">
      <alignment horizontal="center" vertical="center"/>
    </xf>
    <xf numFmtId="0" fontId="10" fillId="0" borderId="42" xfId="3" applyFont="1" applyBorder="1" applyAlignment="1">
      <alignment vertical="center" wrapText="1"/>
    </xf>
    <xf numFmtId="9" fontId="2" fillId="6" borderId="42" xfId="2" applyFont="1" applyFill="1" applyBorder="1" applyAlignment="1">
      <alignment horizontal="center" vertical="center"/>
    </xf>
    <xf numFmtId="1" fontId="2" fillId="6" borderId="42" xfId="2" applyNumberFormat="1" applyFont="1" applyFill="1" applyBorder="1" applyAlignment="1">
      <alignment horizontal="center" vertical="center"/>
    </xf>
    <xf numFmtId="1" fontId="2" fillId="0" borderId="42" xfId="2" applyNumberFormat="1" applyFont="1" applyBorder="1" applyAlignment="1">
      <alignment horizontal="center" vertical="center"/>
    </xf>
    <xf numFmtId="9" fontId="0" fillId="0" borderId="31" xfId="2" applyFont="1" applyFill="1" applyBorder="1" applyAlignment="1">
      <alignment vertical="center"/>
    </xf>
    <xf numFmtId="9" fontId="10" fillId="0" borderId="42" xfId="4" applyFont="1" applyBorder="1" applyAlignment="1" applyProtection="1">
      <alignment horizontal="center" vertical="center"/>
    </xf>
    <xf numFmtId="9" fontId="10" fillId="0" borderId="42" xfId="4" applyFont="1" applyBorder="1" applyAlignment="1" applyProtection="1">
      <alignment horizontal="center" vertical="center" wrapText="1"/>
    </xf>
    <xf numFmtId="9" fontId="18" fillId="6" borderId="42" xfId="2" applyFont="1" applyFill="1" applyBorder="1" applyAlignment="1">
      <alignment horizontal="center" vertical="center"/>
    </xf>
    <xf numFmtId="1" fontId="18" fillId="6" borderId="42" xfId="2" applyNumberFormat="1" applyFont="1" applyFill="1" applyBorder="1" applyAlignment="1">
      <alignment horizontal="center" vertical="center"/>
    </xf>
    <xf numFmtId="0" fontId="16" fillId="0" borderId="0" xfId="0" applyFont="1"/>
    <xf numFmtId="1" fontId="10" fillId="5" borderId="42" xfId="3" applyNumberFormat="1" applyFont="1" applyFill="1" applyBorder="1" applyAlignment="1">
      <alignment horizontal="left" vertical="center" wrapText="1"/>
    </xf>
    <xf numFmtId="9" fontId="10" fillId="6" borderId="42" xfId="4" applyFont="1" applyFill="1" applyBorder="1" applyAlignment="1" applyProtection="1">
      <alignment horizontal="center" vertical="center"/>
    </xf>
    <xf numFmtId="9" fontId="2" fillId="0" borderId="42" xfId="2" applyFont="1" applyBorder="1" applyAlignment="1">
      <alignment horizontal="center" vertical="center"/>
    </xf>
    <xf numFmtId="0" fontId="10" fillId="4" borderId="42" xfId="3" applyFont="1" applyFill="1" applyBorder="1" applyAlignment="1">
      <alignment horizontal="center"/>
    </xf>
    <xf numFmtId="1" fontId="10" fillId="4" borderId="42" xfId="3" applyNumberFormat="1" applyFont="1" applyFill="1" applyBorder="1" applyAlignment="1">
      <alignment horizontal="center"/>
    </xf>
    <xf numFmtId="0" fontId="2" fillId="6" borderId="42" xfId="0" applyFont="1" applyFill="1" applyBorder="1" applyAlignment="1">
      <alignment horizontal="center" vertical="center"/>
    </xf>
    <xf numFmtId="0" fontId="10" fillId="0" borderId="42" xfId="3" applyFont="1" applyBorder="1" applyAlignment="1">
      <alignment horizontal="left" vertical="center" wrapText="1"/>
    </xf>
    <xf numFmtId="1" fontId="18" fillId="0" borderId="42" xfId="2" applyNumberFormat="1" applyFont="1" applyBorder="1" applyAlignment="1">
      <alignment horizontal="center" vertical="center"/>
    </xf>
    <xf numFmtId="1" fontId="21" fillId="2" borderId="42" xfId="2" applyNumberFormat="1" applyFont="1" applyFill="1" applyBorder="1" applyAlignment="1">
      <alignment horizontal="center" vertical="center"/>
    </xf>
    <xf numFmtId="1" fontId="22" fillId="2" borderId="42" xfId="2" applyNumberFormat="1" applyFont="1" applyFill="1" applyBorder="1" applyAlignment="1">
      <alignment horizontal="center" vertical="center"/>
    </xf>
    <xf numFmtId="0" fontId="10" fillId="0" borderId="0" xfId="3" applyFont="1" applyAlignment="1">
      <alignment vertical="center" wrapText="1"/>
    </xf>
    <xf numFmtId="9" fontId="10" fillId="0" borderId="0" xfId="4" applyFont="1" applyAlignment="1" applyProtection="1">
      <alignment horizontal="center" vertical="center" wrapText="1"/>
    </xf>
    <xf numFmtId="9" fontId="2" fillId="6" borderId="0" xfId="2" applyFont="1" applyFill="1" applyBorder="1" applyAlignment="1">
      <alignment horizontal="center" vertical="center"/>
    </xf>
    <xf numFmtId="1" fontId="2" fillId="0" borderId="0" xfId="2" applyNumberFormat="1" applyFont="1" applyBorder="1" applyAlignment="1">
      <alignment horizontal="center" vertical="center"/>
    </xf>
    <xf numFmtId="0" fontId="10" fillId="0" borderId="0" xfId="3" applyFont="1" applyAlignment="1">
      <alignment horizontal="left" vertical="center" wrapText="1"/>
    </xf>
    <xf numFmtId="0" fontId="0" fillId="0" borderId="42" xfId="0" applyBorder="1" applyAlignment="1">
      <alignment horizontal="left" vertical="center"/>
    </xf>
    <xf numFmtId="0" fontId="0" fillId="0" borderId="42" xfId="0" applyBorder="1" applyAlignment="1">
      <alignment horizontal="left" vertical="center" wrapText="1"/>
    </xf>
    <xf numFmtId="9" fontId="10" fillId="0" borderId="23" xfId="4" applyFont="1" applyBorder="1" applyAlignment="1" applyProtection="1">
      <alignment horizontal="center" vertical="center" wrapText="1"/>
    </xf>
    <xf numFmtId="165" fontId="2" fillId="0" borderId="24" xfId="2" applyNumberFormat="1" applyFont="1" applyFill="1" applyBorder="1" applyAlignment="1">
      <alignment horizontal="center" vertical="center"/>
    </xf>
    <xf numFmtId="0" fontId="10" fillId="0" borderId="11" xfId="3" applyFont="1" applyBorder="1" applyAlignment="1">
      <alignment horizontal="center" vertical="center"/>
    </xf>
    <xf numFmtId="1" fontId="2" fillId="0" borderId="24" xfId="2" applyNumberFormat="1" applyFont="1" applyBorder="1" applyAlignment="1">
      <alignment horizontal="center" vertical="center"/>
    </xf>
    <xf numFmtId="9" fontId="10" fillId="0" borderId="24" xfId="4" applyFont="1" applyBorder="1" applyAlignment="1" applyProtection="1">
      <alignment horizontal="center" vertical="center"/>
    </xf>
    <xf numFmtId="9" fontId="10" fillId="0" borderId="23" xfId="4" applyFont="1" applyBorder="1" applyAlignment="1" applyProtection="1">
      <alignment horizontal="center" vertical="center"/>
    </xf>
    <xf numFmtId="9" fontId="10" fillId="0" borderId="11" xfId="4" applyFont="1" applyBorder="1" applyAlignment="1" applyProtection="1">
      <alignment horizontal="center" vertical="center"/>
    </xf>
    <xf numFmtId="9" fontId="10" fillId="0" borderId="25" xfId="4" applyFont="1" applyBorder="1" applyAlignment="1" applyProtection="1">
      <alignment horizontal="center" vertical="center" wrapText="1"/>
    </xf>
    <xf numFmtId="0" fontId="2" fillId="0" borderId="0" xfId="0" applyFont="1" applyAlignment="1">
      <alignment horizontal="left" vertical="center"/>
    </xf>
    <xf numFmtId="0" fontId="2" fillId="7" borderId="0" xfId="0" applyFont="1" applyFill="1" applyAlignment="1">
      <alignment horizontal="left" vertical="center"/>
    </xf>
    <xf numFmtId="0" fontId="10" fillId="0" borderId="0" xfId="3" applyFont="1" applyAlignment="1">
      <alignment horizontal="left" vertical="center"/>
    </xf>
    <xf numFmtId="0" fontId="0" fillId="0" borderId="0" xfId="0" applyAlignment="1">
      <alignment horizontal="left" vertical="center"/>
    </xf>
    <xf numFmtId="0" fontId="0" fillId="7" borderId="0" xfId="0" applyFill="1" applyAlignment="1">
      <alignment horizontal="left" vertical="center"/>
    </xf>
    <xf numFmtId="166" fontId="0" fillId="0" borderId="0" xfId="1" applyNumberFormat="1" applyFont="1" applyAlignment="1">
      <alignment horizontal="left" vertical="center"/>
    </xf>
    <xf numFmtId="0" fontId="0" fillId="0" borderId="0" xfId="0" applyAlignment="1">
      <alignment horizontal="center" vertical="center"/>
    </xf>
    <xf numFmtId="0" fontId="0" fillId="7" borderId="0" xfId="0" applyFill="1" applyAlignment="1">
      <alignment horizontal="center" vertical="center"/>
    </xf>
    <xf numFmtId="0" fontId="10" fillId="0" borderId="0" xfId="3" applyFont="1" applyAlignment="1">
      <alignment horizontal="center" vertical="center"/>
    </xf>
    <xf numFmtId="0" fontId="0" fillId="0" borderId="0" xfId="0" applyAlignment="1">
      <alignment horizontal="right" vertical="center"/>
    </xf>
    <xf numFmtId="0" fontId="0" fillId="7" borderId="0" xfId="0" applyFill="1" applyAlignment="1">
      <alignment horizontal="right" vertical="center"/>
    </xf>
    <xf numFmtId="9" fontId="10" fillId="0" borderId="70" xfId="4" applyFont="1" applyBorder="1" applyAlignment="1" applyProtection="1">
      <alignment horizontal="center" vertical="center"/>
    </xf>
    <xf numFmtId="165" fontId="2" fillId="0" borderId="45" xfId="2" applyNumberFormat="1" applyFont="1" applyFill="1" applyBorder="1" applyAlignment="1">
      <alignment horizontal="center" vertical="center"/>
    </xf>
    <xf numFmtId="0" fontId="10" fillId="0" borderId="70" xfId="3" applyFont="1" applyBorder="1" applyAlignment="1">
      <alignment horizontal="center" vertical="center"/>
    </xf>
    <xf numFmtId="1" fontId="2" fillId="0" borderId="45" xfId="2" applyNumberFormat="1" applyFont="1" applyBorder="1" applyAlignment="1">
      <alignment horizontal="center" vertical="center"/>
    </xf>
    <xf numFmtId="0" fontId="21" fillId="20" borderId="74" xfId="3"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7" borderId="0" xfId="0" applyFill="1" applyAlignment="1">
      <alignment horizontal="left" vertical="center" wrapText="1"/>
    </xf>
    <xf numFmtId="0" fontId="0" fillId="7" borderId="0" xfId="0"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65" fontId="2" fillId="0" borderId="24" xfId="2" applyNumberFormat="1" applyFont="1" applyFill="1" applyBorder="1" applyAlignment="1">
      <alignment horizontal="center" vertical="center" wrapText="1"/>
    </xf>
    <xf numFmtId="0" fontId="31" fillId="0" borderId="11" xfId="3" applyFont="1" applyBorder="1" applyAlignment="1">
      <alignment horizontal="center" vertical="center" wrapText="1"/>
    </xf>
    <xf numFmtId="1" fontId="2" fillId="0" borderId="24" xfId="2" applyNumberFormat="1" applyFont="1" applyBorder="1" applyAlignment="1">
      <alignment horizontal="center" vertical="center" wrapText="1"/>
    </xf>
    <xf numFmtId="0" fontId="31" fillId="0" borderId="0" xfId="3" applyFont="1" applyAlignment="1">
      <alignment horizontal="left" vertical="center" wrapText="1"/>
    </xf>
    <xf numFmtId="0" fontId="31" fillId="0" borderId="0" xfId="3" applyFont="1" applyAlignment="1">
      <alignment horizontal="center" vertical="center" wrapText="1"/>
    </xf>
    <xf numFmtId="0" fontId="17" fillId="20" borderId="74" xfId="3" applyFont="1" applyFill="1" applyBorder="1" applyAlignment="1">
      <alignment horizontal="center" vertical="center" wrapText="1"/>
    </xf>
    <xf numFmtId="1" fontId="31" fillId="22" borderId="11" xfId="4" applyNumberFormat="1" applyFont="1" applyFill="1" applyBorder="1" applyAlignment="1" applyProtection="1">
      <alignment horizontal="center" vertical="center" wrapText="1"/>
    </xf>
    <xf numFmtId="1" fontId="31" fillId="22" borderId="15" xfId="4" applyNumberFormat="1" applyFont="1" applyFill="1" applyBorder="1" applyAlignment="1" applyProtection="1">
      <alignment horizontal="center" vertical="center" wrapText="1"/>
    </xf>
    <xf numFmtId="1" fontId="31" fillId="23" borderId="78" xfId="4" applyNumberFormat="1" applyFont="1" applyFill="1" applyBorder="1" applyAlignment="1" applyProtection="1">
      <alignment horizontal="center" vertical="center" wrapText="1"/>
    </xf>
    <xf numFmtId="1" fontId="2" fillId="0" borderId="83" xfId="2" applyNumberFormat="1" applyFont="1" applyBorder="1" applyAlignment="1">
      <alignment horizontal="center" vertical="center"/>
    </xf>
    <xf numFmtId="1" fontId="31" fillId="22" borderId="85" xfId="4" applyNumberFormat="1" applyFont="1" applyFill="1" applyBorder="1" applyAlignment="1" applyProtection="1">
      <alignment horizontal="center" vertical="center" wrapText="1"/>
    </xf>
    <xf numFmtId="9" fontId="31" fillId="0" borderId="78" xfId="4" applyFont="1" applyBorder="1" applyAlignment="1" applyProtection="1">
      <alignment horizontal="center" vertical="center" wrapText="1"/>
    </xf>
    <xf numFmtId="165" fontId="2" fillId="0" borderId="78" xfId="2" applyNumberFormat="1" applyFont="1" applyFill="1" applyBorder="1" applyAlignment="1">
      <alignment horizontal="center" vertical="center" wrapText="1"/>
    </xf>
    <xf numFmtId="0" fontId="31" fillId="0" borderId="78" xfId="3" applyFont="1" applyBorder="1" applyAlignment="1">
      <alignment horizontal="center" vertical="center" wrapText="1"/>
    </xf>
    <xf numFmtId="1" fontId="2" fillId="0" borderId="78" xfId="2" applyNumberFormat="1" applyFont="1" applyBorder="1" applyAlignment="1">
      <alignment horizontal="center" vertical="center" wrapText="1"/>
    </xf>
    <xf numFmtId="0" fontId="0" fillId="0" borderId="0" xfId="0" applyAlignment="1">
      <alignment horizontal="right" vertical="center" wrapText="1"/>
    </xf>
    <xf numFmtId="0" fontId="2" fillId="0" borderId="0" xfId="0" applyFont="1" applyAlignment="1">
      <alignment horizontal="left" vertical="center" indent="1"/>
    </xf>
    <xf numFmtId="0" fontId="0" fillId="0" borderId="0" xfId="0" applyAlignment="1">
      <alignment horizontal="left" vertical="center" wrapText="1" indent="1"/>
    </xf>
    <xf numFmtId="9" fontId="34" fillId="0" borderId="23" xfId="4" applyFont="1" applyBorder="1" applyAlignment="1" applyProtection="1">
      <alignment horizontal="center" vertical="center" wrapText="1"/>
    </xf>
    <xf numFmtId="1" fontId="2" fillId="0" borderId="24" xfId="2" applyNumberFormat="1" applyFont="1" applyFill="1" applyBorder="1" applyAlignment="1">
      <alignment horizontal="center" vertical="center"/>
    </xf>
    <xf numFmtId="0" fontId="3" fillId="0" borderId="0" xfId="0" applyFont="1"/>
    <xf numFmtId="0" fontId="3" fillId="0" borderId="97" xfId="0" applyFont="1" applyBorder="1" applyAlignment="1">
      <alignment vertical="top" wrapText="1"/>
    </xf>
    <xf numFmtId="0" fontId="3" fillId="0" borderId="0" xfId="0" applyFont="1" applyAlignment="1">
      <alignment vertical="top" wrapText="1"/>
    </xf>
    <xf numFmtId="0" fontId="22" fillId="0" borderId="38" xfId="5" applyFont="1" applyBorder="1" applyAlignment="1" applyProtection="1">
      <alignment horizontal="left" vertical="center" wrapText="1"/>
      <protection locked="0"/>
    </xf>
    <xf numFmtId="0" fontId="22" fillId="0" borderId="38" xfId="5" applyFont="1" applyBorder="1" applyAlignment="1" applyProtection="1">
      <alignment vertical="center" wrapText="1"/>
      <protection locked="0"/>
    </xf>
    <xf numFmtId="0" fontId="10" fillId="0" borderId="0" xfId="5" applyFont="1" applyAlignment="1" applyProtection="1">
      <alignment horizontal="center" vertical="center"/>
      <protection locked="0"/>
    </xf>
    <xf numFmtId="0" fontId="23" fillId="0" borderId="0" xfId="5" applyProtection="1">
      <protection locked="0"/>
    </xf>
    <xf numFmtId="0" fontId="21" fillId="20" borderId="38" xfId="5" applyFont="1" applyFill="1" applyBorder="1" applyAlignment="1" applyProtection="1">
      <alignment horizontal="center" vertical="center" wrapText="1"/>
      <protection locked="0"/>
    </xf>
    <xf numFmtId="0" fontId="21" fillId="20" borderId="96" xfId="5" applyFont="1" applyFill="1" applyBorder="1" applyAlignment="1" applyProtection="1">
      <alignment horizontal="center" vertical="center" wrapText="1"/>
      <protection locked="0"/>
    </xf>
    <xf numFmtId="0" fontId="22" fillId="0" borderId="93" xfId="5" applyFont="1" applyBorder="1" applyAlignment="1" applyProtection="1">
      <alignment vertical="center" wrapText="1"/>
      <protection locked="0"/>
    </xf>
    <xf numFmtId="0" fontId="22" fillId="0" borderId="38" xfId="5" applyFont="1" applyBorder="1" applyAlignment="1" applyProtection="1">
      <alignment horizontal="center" vertical="center" wrapText="1"/>
      <protection locked="0"/>
    </xf>
    <xf numFmtId="0" fontId="22" fillId="0" borderId="39" xfId="5" applyFont="1" applyBorder="1" applyAlignment="1" applyProtection="1">
      <alignment vertical="center" wrapText="1"/>
      <protection locked="0"/>
    </xf>
    <xf numFmtId="0" fontId="21" fillId="25" borderId="101" xfId="5" applyFont="1" applyFill="1" applyBorder="1" applyAlignment="1" applyProtection="1">
      <alignment horizontal="center" vertical="center" wrapText="1"/>
      <protection locked="0"/>
    </xf>
    <xf numFmtId="0" fontId="21" fillId="25" borderId="100" xfId="5" applyFont="1" applyFill="1" applyBorder="1" applyAlignment="1" applyProtection="1">
      <alignment horizontal="center" vertical="center" wrapText="1"/>
      <protection locked="0"/>
    </xf>
    <xf numFmtId="0" fontId="23" fillId="0" borderId="0" xfId="5" applyAlignment="1" applyProtection="1">
      <alignment wrapText="1"/>
      <protection locked="0"/>
    </xf>
    <xf numFmtId="0" fontId="23" fillId="0" borderId="0" xfId="5" applyAlignment="1" applyProtection="1">
      <alignment horizontal="center" wrapText="1"/>
      <protection locked="0"/>
    </xf>
    <xf numFmtId="2" fontId="2" fillId="0" borderId="24" xfId="2" applyNumberFormat="1" applyFont="1" applyBorder="1" applyAlignment="1">
      <alignment horizontal="center" vertical="center" wrapText="1"/>
    </xf>
    <xf numFmtId="1" fontId="31" fillId="26" borderId="78" xfId="4" applyNumberFormat="1" applyFont="1" applyFill="1" applyBorder="1" applyAlignment="1" applyProtection="1">
      <alignment horizontal="center" vertical="center" wrapText="1"/>
    </xf>
    <xf numFmtId="1" fontId="2" fillId="0" borderId="78" xfId="2" applyNumberFormat="1" applyFont="1" applyFill="1" applyBorder="1" applyAlignment="1">
      <alignment horizontal="center" vertical="center" wrapText="1"/>
    </xf>
    <xf numFmtId="1" fontId="31" fillId="23" borderId="103" xfId="4" applyNumberFormat="1" applyFont="1" applyFill="1" applyBorder="1" applyAlignment="1" applyProtection="1">
      <alignment horizontal="center" vertical="center" wrapText="1"/>
    </xf>
    <xf numFmtId="0" fontId="10" fillId="0" borderId="107" xfId="3" applyFont="1" applyBorder="1" applyAlignment="1">
      <alignment horizontal="center" vertical="center" wrapText="1"/>
    </xf>
    <xf numFmtId="1" fontId="10" fillId="23" borderId="110" xfId="4" applyNumberFormat="1" applyFont="1" applyFill="1" applyBorder="1" applyAlignment="1" applyProtection="1">
      <alignment horizontal="center" vertical="center"/>
    </xf>
    <xf numFmtId="0" fontId="0" fillId="0" borderId="0" xfId="0" applyAlignment="1">
      <alignment horizontal="left" vertical="center" wrapText="1" indent="2"/>
    </xf>
    <xf numFmtId="0" fontId="0" fillId="0" borderId="42" xfId="0" applyBorder="1" applyAlignment="1">
      <alignment horizontal="left"/>
    </xf>
    <xf numFmtId="0" fontId="10" fillId="0" borderId="0" xfId="5" applyFont="1" applyAlignment="1">
      <alignment horizontal="center" vertical="center"/>
    </xf>
    <xf numFmtId="0" fontId="21" fillId="0" borderId="0" xfId="5" applyFont="1" applyAlignment="1">
      <alignment horizontal="center" vertical="center"/>
    </xf>
    <xf numFmtId="0" fontId="23" fillId="0" borderId="0" xfId="5" applyAlignment="1" applyProtection="1">
      <alignment horizontal="left" wrapText="1"/>
      <protection locked="0"/>
    </xf>
    <xf numFmtId="0" fontId="2" fillId="7" borderId="0" xfId="0" applyFont="1" applyFill="1" applyAlignment="1">
      <alignment horizontal="center" vertical="center"/>
    </xf>
    <xf numFmtId="9" fontId="31" fillId="0" borderId="11" xfId="4" applyFont="1" applyBorder="1" applyAlignment="1" applyProtection="1">
      <alignment horizontal="center" vertical="center" wrapText="1"/>
    </xf>
    <xf numFmtId="0" fontId="2" fillId="8" borderId="124" xfId="0" applyFont="1" applyFill="1" applyBorder="1" applyAlignment="1">
      <alignment horizontal="right" vertical="center"/>
    </xf>
    <xf numFmtId="0" fontId="0" fillId="8" borderId="124" xfId="0" applyFill="1" applyBorder="1" applyAlignment="1">
      <alignment horizontal="left" vertical="center"/>
    </xf>
    <xf numFmtId="0" fontId="2" fillId="8" borderId="125" xfId="0" applyFont="1" applyFill="1" applyBorder="1" applyAlignment="1">
      <alignment horizontal="center" vertical="center"/>
    </xf>
    <xf numFmtId="0" fontId="2" fillId="8" borderId="126" xfId="0" applyFont="1" applyFill="1" applyBorder="1" applyAlignment="1">
      <alignment horizontal="right" vertical="center"/>
    </xf>
    <xf numFmtId="0" fontId="2" fillId="8" borderId="127" xfId="0" applyFont="1" applyFill="1" applyBorder="1" applyAlignment="1">
      <alignment horizontal="right" vertical="center"/>
    </xf>
    <xf numFmtId="0" fontId="0" fillId="8" borderId="125" xfId="0" applyFill="1" applyBorder="1" applyAlignment="1">
      <alignment horizontal="left" vertical="center"/>
    </xf>
    <xf numFmtId="0" fontId="0" fillId="8" borderId="128" xfId="0" applyFill="1" applyBorder="1" applyAlignment="1">
      <alignment horizontal="left" vertical="center"/>
    </xf>
    <xf numFmtId="0" fontId="0" fillId="8" borderId="128" xfId="0" applyFill="1" applyBorder="1" applyAlignment="1">
      <alignment horizontal="center" vertical="center"/>
    </xf>
    <xf numFmtId="0" fontId="2" fillId="8" borderId="125" xfId="0" applyFont="1" applyFill="1" applyBorder="1" applyAlignment="1">
      <alignment vertical="center"/>
    </xf>
    <xf numFmtId="0" fontId="2" fillId="0" borderId="125" xfId="0" applyFont="1" applyBorder="1" applyAlignment="1">
      <alignment horizontal="left" vertical="center" indent="1"/>
    </xf>
    <xf numFmtId="0" fontId="2" fillId="0" borderId="126" xfId="0" applyFont="1" applyBorder="1" applyAlignment="1">
      <alignment horizontal="left" vertical="center"/>
    </xf>
    <xf numFmtId="0" fontId="2" fillId="0" borderId="124" xfId="0" applyFont="1" applyBorder="1" applyAlignment="1">
      <alignment horizontal="center" vertical="center"/>
    </xf>
    <xf numFmtId="0" fontId="2" fillId="0" borderId="126" xfId="0" applyFont="1" applyBorder="1" applyAlignment="1">
      <alignment horizontal="center" vertical="center"/>
    </xf>
    <xf numFmtId="0" fontId="2" fillId="0" borderId="124" xfId="0" applyFont="1" applyBorder="1" applyAlignment="1">
      <alignment horizontal="left" vertical="center" indent="1"/>
    </xf>
    <xf numFmtId="0" fontId="39" fillId="8" borderId="124" xfId="0" applyFont="1" applyFill="1" applyBorder="1" applyAlignment="1">
      <alignment horizontal="left" vertical="center" wrapText="1"/>
    </xf>
    <xf numFmtId="0" fontId="2" fillId="0" borderId="124" xfId="0" applyFont="1" applyBorder="1" applyAlignment="1">
      <alignment horizontal="right" vertical="center" wrapText="1"/>
    </xf>
    <xf numFmtId="0" fontId="2" fillId="0" borderId="124" xfId="0" applyFont="1" applyBorder="1" applyAlignment="1">
      <alignment horizontal="left" vertical="center" wrapText="1" indent="1"/>
    </xf>
    <xf numFmtId="0" fontId="2" fillId="0" borderId="124" xfId="0" applyFont="1" applyBorder="1" applyAlignment="1">
      <alignment horizontal="center" vertical="center" wrapText="1"/>
    </xf>
    <xf numFmtId="0" fontId="2" fillId="0" borderId="127" xfId="0" applyFont="1" applyBorder="1" applyAlignment="1">
      <alignment horizontal="center" vertical="center" wrapText="1"/>
    </xf>
    <xf numFmtId="0" fontId="2" fillId="8" borderId="124" xfId="0" applyFont="1" applyFill="1" applyBorder="1" applyAlignment="1">
      <alignment horizontal="center" vertical="center" wrapText="1"/>
    </xf>
    <xf numFmtId="0" fontId="0" fillId="8" borderId="125" xfId="0" applyFill="1" applyBorder="1" applyAlignment="1">
      <alignment horizontal="left" vertical="center" wrapText="1"/>
    </xf>
    <xf numFmtId="0" fontId="0" fillId="8" borderId="128" xfId="0" applyFill="1" applyBorder="1" applyAlignment="1">
      <alignment horizontal="left" vertical="center" wrapText="1"/>
    </xf>
    <xf numFmtId="0" fontId="0" fillId="8" borderId="128" xfId="0" applyFill="1" applyBorder="1" applyAlignment="1">
      <alignment horizontal="center" vertical="center" wrapText="1"/>
    </xf>
    <xf numFmtId="0" fontId="0" fillId="8" borderId="124" xfId="0" applyFill="1" applyBorder="1" applyAlignment="1">
      <alignment horizontal="left" vertical="center" wrapText="1"/>
    </xf>
    <xf numFmtId="0" fontId="40" fillId="28" borderId="124" xfId="0" applyFont="1" applyFill="1" applyBorder="1" applyAlignment="1">
      <alignment horizontal="center" vertical="center"/>
    </xf>
    <xf numFmtId="0" fontId="0" fillId="0" borderId="124" xfId="0" applyBorder="1" applyAlignment="1">
      <alignment horizontal="left" vertical="center"/>
    </xf>
    <xf numFmtId="0" fontId="2" fillId="0" borderId="1" xfId="0" applyFont="1" applyBorder="1" applyAlignment="1">
      <alignment horizontal="left"/>
    </xf>
    <xf numFmtId="0" fontId="0" fillId="0" borderId="0" xfId="0" applyAlignment="1">
      <alignment horizontal="left"/>
    </xf>
    <xf numFmtId="0" fontId="0" fillId="0" borderId="78"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 xfId="0" applyBorder="1" applyAlignment="1">
      <alignment horizontal="left" vertical="center"/>
    </xf>
    <xf numFmtId="0" fontId="0" fillId="0" borderId="0" xfId="0" applyAlignment="1">
      <alignment horizontal="left" wrapText="1"/>
    </xf>
    <xf numFmtId="1" fontId="18" fillId="0" borderId="24" xfId="2" applyNumberFormat="1" applyFont="1" applyBorder="1" applyAlignment="1">
      <alignment horizontal="center" vertical="center"/>
    </xf>
    <xf numFmtId="1" fontId="18" fillId="26" borderId="78" xfId="4" applyNumberFormat="1" applyFont="1" applyFill="1" applyBorder="1" applyAlignment="1" applyProtection="1">
      <alignment horizontal="center" vertical="center" wrapText="1"/>
    </xf>
    <xf numFmtId="1" fontId="18" fillId="26" borderId="114" xfId="4" applyNumberFormat="1" applyFont="1" applyFill="1" applyBorder="1" applyAlignment="1" applyProtection="1">
      <alignment horizontal="center" vertical="center" wrapText="1"/>
    </xf>
    <xf numFmtId="2" fontId="41" fillId="24" borderId="66" xfId="4" applyNumberFormat="1" applyFont="1" applyFill="1" applyBorder="1" applyAlignment="1" applyProtection="1">
      <alignment horizontal="center" vertical="center"/>
    </xf>
    <xf numFmtId="2" fontId="18" fillId="26" borderId="78" xfId="4" applyNumberFormat="1" applyFont="1" applyFill="1" applyBorder="1" applyAlignment="1" applyProtection="1">
      <alignment horizontal="center" vertical="center" wrapText="1"/>
    </xf>
    <xf numFmtId="2" fontId="18" fillId="26" borderId="133" xfId="4" applyNumberFormat="1" applyFont="1" applyFill="1" applyBorder="1" applyAlignment="1" applyProtection="1">
      <alignment horizontal="center" vertical="center" wrapText="1"/>
    </xf>
    <xf numFmtId="2" fontId="31" fillId="23" borderId="103" xfId="4" applyNumberFormat="1" applyFont="1" applyFill="1" applyBorder="1" applyAlignment="1" applyProtection="1">
      <alignment horizontal="center" vertical="center" wrapText="1"/>
    </xf>
    <xf numFmtId="1" fontId="31" fillId="26" borderId="114" xfId="4" applyNumberFormat="1" applyFont="1" applyFill="1" applyBorder="1" applyAlignment="1" applyProtection="1">
      <alignment horizontal="center" vertical="center" wrapText="1"/>
    </xf>
    <xf numFmtId="2" fontId="31" fillId="26" borderId="114" xfId="4" applyNumberFormat="1" applyFont="1" applyFill="1" applyBorder="1" applyAlignment="1" applyProtection="1">
      <alignment horizontal="center" vertical="center" wrapText="1"/>
    </xf>
    <xf numFmtId="2" fontId="31" fillId="26" borderId="78" xfId="4" applyNumberFormat="1" applyFont="1" applyFill="1" applyBorder="1" applyAlignment="1" applyProtection="1">
      <alignment horizontal="center" vertical="center" wrapText="1"/>
    </xf>
    <xf numFmtId="2" fontId="33" fillId="24" borderId="78" xfId="4" applyNumberFormat="1" applyFont="1" applyFill="1" applyBorder="1" applyAlignment="1" applyProtection="1">
      <alignment horizontal="center" vertical="center" wrapText="1"/>
    </xf>
    <xf numFmtId="165" fontId="2" fillId="0" borderId="137" xfId="2" applyNumberFormat="1" applyFont="1" applyFill="1" applyBorder="1" applyAlignment="1">
      <alignment horizontal="center" vertical="center" wrapText="1"/>
    </xf>
    <xf numFmtId="9" fontId="10" fillId="0" borderId="82" xfId="4" applyFont="1" applyBorder="1" applyAlignment="1" applyProtection="1">
      <alignment horizontal="center" vertical="center"/>
    </xf>
    <xf numFmtId="9" fontId="22" fillId="0" borderId="23" xfId="4" applyFont="1" applyBorder="1" applyAlignment="1" applyProtection="1">
      <alignment horizontal="center" vertical="center"/>
    </xf>
    <xf numFmtId="165" fontId="18" fillId="0" borderId="83" xfId="2" applyNumberFormat="1" applyFont="1" applyFill="1" applyBorder="1" applyAlignment="1">
      <alignment horizontal="center" vertical="center"/>
    </xf>
    <xf numFmtId="165" fontId="18" fillId="0" borderId="24" xfId="2" applyNumberFormat="1" applyFont="1" applyFill="1" applyBorder="1" applyAlignment="1">
      <alignment horizontal="center" vertical="center"/>
    </xf>
    <xf numFmtId="0" fontId="22" fillId="0" borderId="84" xfId="3" applyFont="1" applyBorder="1" applyAlignment="1">
      <alignment horizontal="center" vertical="center"/>
    </xf>
    <xf numFmtId="0" fontId="22" fillId="0" borderId="11" xfId="3" applyFont="1" applyBorder="1" applyAlignment="1">
      <alignment horizontal="center" vertical="center"/>
    </xf>
    <xf numFmtId="9" fontId="18" fillId="0" borderId="78" xfId="4" applyFont="1" applyBorder="1" applyAlignment="1" applyProtection="1">
      <alignment horizontal="center" vertical="center" wrapText="1"/>
    </xf>
    <xf numFmtId="165" fontId="18" fillId="0" borderId="78" xfId="2" applyNumberFormat="1" applyFont="1" applyFill="1" applyBorder="1" applyAlignment="1">
      <alignment horizontal="center" vertical="center" wrapText="1"/>
    </xf>
    <xf numFmtId="1" fontId="18" fillId="0" borderId="78" xfId="2" applyNumberFormat="1" applyFont="1" applyFill="1" applyBorder="1" applyAlignment="1">
      <alignment horizontal="center" vertical="center" wrapText="1"/>
    </xf>
    <xf numFmtId="1" fontId="18" fillId="0" borderId="78" xfId="2" applyNumberFormat="1" applyFont="1" applyBorder="1" applyAlignment="1">
      <alignment horizontal="center" vertical="center" wrapText="1"/>
    </xf>
    <xf numFmtId="0" fontId="22" fillId="0" borderId="98" xfId="5" applyFont="1" applyBorder="1" applyAlignment="1" applyProtection="1">
      <alignment vertical="center" wrapText="1"/>
      <protection locked="0"/>
    </xf>
    <xf numFmtId="0" fontId="2" fillId="14" borderId="135" xfId="0" applyFont="1" applyFill="1" applyBorder="1" applyAlignment="1">
      <alignment horizontal="center" vertical="center" textRotation="90" wrapText="1"/>
    </xf>
    <xf numFmtId="0" fontId="42" fillId="0" borderId="0" xfId="0" applyFont="1" applyAlignment="1">
      <alignment horizontal="center" vertical="center"/>
    </xf>
    <xf numFmtId="0" fontId="43" fillId="12" borderId="42" xfId="0" applyFont="1" applyFill="1" applyBorder="1" applyAlignment="1">
      <alignment horizontal="center" vertical="center"/>
    </xf>
    <xf numFmtId="0" fontId="43" fillId="12" borderId="78" xfId="0" applyFont="1" applyFill="1" applyBorder="1" applyAlignment="1">
      <alignment horizontal="center" vertical="center"/>
    </xf>
    <xf numFmtId="0" fontId="43" fillId="14" borderId="42" xfId="0" applyFont="1" applyFill="1" applyBorder="1" applyAlignment="1">
      <alignment horizontal="center" vertical="center"/>
    </xf>
    <xf numFmtId="0" fontId="43" fillId="15" borderId="42" xfId="0" applyFont="1" applyFill="1" applyBorder="1" applyAlignment="1">
      <alignment horizontal="center" vertical="center"/>
    </xf>
    <xf numFmtId="0" fontId="43" fillId="15" borderId="78" xfId="0" applyFont="1" applyFill="1" applyBorder="1" applyAlignment="1">
      <alignment horizontal="center" vertical="center"/>
    </xf>
    <xf numFmtId="165" fontId="42" fillId="0" borderId="42" xfId="2" applyNumberFormat="1" applyFont="1" applyFill="1" applyBorder="1" applyAlignment="1">
      <alignment horizontal="center" vertical="center" wrapText="1"/>
    </xf>
    <xf numFmtId="1" fontId="42" fillId="0" borderId="78" xfId="2" applyNumberFormat="1" applyFont="1" applyFill="1" applyBorder="1" applyAlignment="1">
      <alignment horizontal="center" vertical="center" wrapText="1"/>
    </xf>
    <xf numFmtId="9" fontId="42" fillId="0" borderId="42" xfId="2" applyFont="1" applyFill="1" applyBorder="1" applyAlignment="1">
      <alignment horizontal="center" vertical="center" wrapText="1"/>
    </xf>
    <xf numFmtId="10" fontId="42" fillId="0" borderId="42" xfId="2" applyNumberFormat="1" applyFont="1" applyFill="1" applyBorder="1" applyAlignment="1">
      <alignment horizontal="center" vertical="center" wrapText="1"/>
    </xf>
    <xf numFmtId="0" fontId="42" fillId="0" borderId="42" xfId="2" applyNumberFormat="1" applyFont="1" applyFill="1" applyBorder="1" applyAlignment="1">
      <alignment horizontal="center" vertical="center" wrapText="1"/>
    </xf>
    <xf numFmtId="9" fontId="42" fillId="0" borderId="78" xfId="2" applyFont="1" applyFill="1" applyBorder="1" applyAlignment="1">
      <alignment horizontal="center" vertical="center" wrapText="1"/>
    </xf>
    <xf numFmtId="10" fontId="42" fillId="14" borderId="42" xfId="2" applyNumberFormat="1" applyFont="1" applyFill="1" applyBorder="1" applyAlignment="1">
      <alignment horizontal="center" vertical="center" wrapText="1"/>
    </xf>
    <xf numFmtId="0" fontId="42" fillId="0" borderId="42" xfId="0" applyFont="1" applyBorder="1" applyAlignment="1">
      <alignment horizontal="center" vertical="center" wrapText="1"/>
    </xf>
    <xf numFmtId="0" fontId="42" fillId="0" borderId="78" xfId="0" applyFont="1" applyBorder="1" applyAlignment="1">
      <alignment horizontal="center" vertical="center" wrapText="1"/>
    </xf>
    <xf numFmtId="1" fontId="42" fillId="0" borderId="42" xfId="0" applyNumberFormat="1" applyFont="1" applyBorder="1" applyAlignment="1">
      <alignment horizontal="center" vertical="center" wrapText="1"/>
    </xf>
    <xf numFmtId="2" fontId="42" fillId="0" borderId="42" xfId="0" applyNumberFormat="1" applyFont="1" applyBorder="1" applyAlignment="1">
      <alignment horizontal="center" vertical="center" wrapText="1"/>
    </xf>
    <xf numFmtId="0" fontId="43" fillId="21" borderId="42" xfId="0" applyFont="1" applyFill="1" applyBorder="1" applyAlignment="1">
      <alignment horizontal="left" vertical="center" wrapText="1"/>
    </xf>
    <xf numFmtId="0" fontId="43" fillId="16" borderId="42" xfId="0" applyFont="1" applyFill="1" applyBorder="1" applyAlignment="1">
      <alignment horizontal="left" vertical="center" wrapText="1"/>
    </xf>
    <xf numFmtId="0" fontId="43" fillId="16" borderId="107" xfId="0" applyFont="1" applyFill="1" applyBorder="1" applyAlignment="1">
      <alignment horizontal="left" vertical="center" wrapText="1"/>
    </xf>
    <xf numFmtId="0" fontId="43" fillId="16" borderId="43" xfId="0" applyFont="1" applyFill="1" applyBorder="1" applyAlignment="1">
      <alignment horizontal="left" vertical="center" wrapText="1"/>
    </xf>
    <xf numFmtId="0" fontId="42" fillId="0" borderId="42" xfId="0" applyFont="1" applyBorder="1" applyAlignment="1" applyProtection="1">
      <alignment horizontal="left" vertical="center"/>
      <protection locked="0"/>
    </xf>
    <xf numFmtId="0" fontId="42" fillId="0" borderId="42" xfId="0" applyFont="1" applyBorder="1" applyAlignment="1">
      <alignment horizontal="left" vertical="center"/>
    </xf>
    <xf numFmtId="0" fontId="42" fillId="0" borderId="107" xfId="0" applyFont="1" applyBorder="1" applyAlignment="1">
      <alignment horizontal="left" vertical="center"/>
    </xf>
    <xf numFmtId="0" fontId="2" fillId="0" borderId="0" xfId="0" applyFont="1" applyAlignment="1">
      <alignment horizontal="center" textRotation="90" wrapText="1"/>
    </xf>
    <xf numFmtId="0" fontId="2" fillId="12" borderId="42" xfId="0" applyFont="1" applyFill="1" applyBorder="1" applyAlignment="1">
      <alignment horizontal="center" textRotation="90" wrapText="1"/>
    </xf>
    <xf numFmtId="0" fontId="2" fillId="12" borderId="78" xfId="0" applyFont="1" applyFill="1" applyBorder="1" applyAlignment="1">
      <alignment horizontal="center" textRotation="90" wrapText="1"/>
    </xf>
    <xf numFmtId="0" fontId="2" fillId="14" borderId="42" xfId="0" applyFont="1" applyFill="1" applyBorder="1" applyAlignment="1">
      <alignment horizontal="center" textRotation="90" wrapText="1"/>
    </xf>
    <xf numFmtId="0" fontId="2" fillId="15" borderId="42" xfId="0" applyFont="1" applyFill="1" applyBorder="1" applyAlignment="1">
      <alignment horizontal="center" textRotation="90" wrapText="1"/>
    </xf>
    <xf numFmtId="0" fontId="2" fillId="15" borderId="78" xfId="0" applyFont="1" applyFill="1" applyBorder="1" applyAlignment="1">
      <alignment horizontal="center" textRotation="90" wrapText="1"/>
    </xf>
    <xf numFmtId="0" fontId="43" fillId="22" borderId="107" xfId="0" applyFont="1" applyFill="1" applyBorder="1" applyAlignment="1">
      <alignment horizontal="left" vertical="center" wrapText="1"/>
    </xf>
    <xf numFmtId="0" fontId="43" fillId="0" borderId="0" xfId="0" applyFont="1" applyAlignment="1">
      <alignment vertical="center"/>
    </xf>
    <xf numFmtId="0" fontId="42" fillId="0" borderId="0" xfId="0" applyFont="1" applyAlignment="1">
      <alignment vertical="center"/>
    </xf>
    <xf numFmtId="0" fontId="43" fillId="22" borderId="107" xfId="0" applyFont="1" applyFill="1" applyBorder="1" applyAlignment="1">
      <alignment horizontal="center" vertical="center" wrapText="1"/>
    </xf>
    <xf numFmtId="0" fontId="44" fillId="0" borderId="0" xfId="0" applyFont="1" applyAlignment="1">
      <alignment wrapText="1"/>
    </xf>
    <xf numFmtId="0" fontId="44" fillId="0" borderId="0" xfId="0" applyFont="1"/>
    <xf numFmtId="0" fontId="21" fillId="25" borderId="136" xfId="0" applyFont="1" applyFill="1" applyBorder="1" applyAlignment="1">
      <alignment horizontal="left" vertical="center" wrapText="1"/>
    </xf>
    <xf numFmtId="0" fontId="21" fillId="25" borderId="53" xfId="0" applyFont="1" applyFill="1" applyBorder="1" applyAlignment="1">
      <alignment horizontal="left" vertical="center" wrapText="1"/>
    </xf>
    <xf numFmtId="0" fontId="21" fillId="25" borderId="141" xfId="0" applyFont="1" applyFill="1" applyBorder="1" applyAlignment="1">
      <alignment horizontal="left" vertical="center" wrapText="1"/>
    </xf>
    <xf numFmtId="0" fontId="45" fillId="0" borderId="142" xfId="0" applyFont="1" applyBorder="1" applyAlignment="1">
      <alignment horizontal="left" vertical="center" wrapText="1"/>
    </xf>
    <xf numFmtId="0" fontId="45" fillId="0" borderId="143" xfId="0" applyFont="1" applyBorder="1" applyAlignment="1">
      <alignment horizontal="center" vertical="center" wrapText="1"/>
    </xf>
    <xf numFmtId="0" fontId="45" fillId="5" borderId="144" xfId="0" applyFont="1" applyFill="1" applyBorder="1" applyAlignment="1">
      <alignment horizontal="center" vertical="center" wrapText="1"/>
    </xf>
    <xf numFmtId="0" fontId="45" fillId="0" borderId="145" xfId="0" applyFont="1" applyBorder="1" applyAlignment="1">
      <alignment horizontal="left" vertical="center" wrapText="1"/>
    </xf>
    <xf numFmtId="0" fontId="45" fillId="0" borderId="146" xfId="0" applyFont="1" applyBorder="1" applyAlignment="1">
      <alignment horizontal="center" vertical="center" wrapText="1"/>
    </xf>
    <xf numFmtId="0" fontId="45" fillId="0" borderId="147" xfId="0" applyFont="1" applyBorder="1" applyAlignment="1">
      <alignment horizontal="left" vertical="center" wrapText="1"/>
    </xf>
    <xf numFmtId="0" fontId="45" fillId="0" borderId="148" xfId="0" applyFont="1" applyBorder="1" applyAlignment="1">
      <alignment horizontal="center" vertical="center" wrapText="1"/>
    </xf>
    <xf numFmtId="0" fontId="45" fillId="0" borderId="149" xfId="0" applyFont="1" applyBorder="1" applyAlignment="1">
      <alignment horizontal="center" vertical="center" wrapText="1"/>
    </xf>
    <xf numFmtId="0" fontId="45" fillId="0" borderId="0" xfId="0" applyFont="1" applyAlignment="1">
      <alignment horizontal="left" vertical="center" wrapText="1"/>
    </xf>
    <xf numFmtId="0" fontId="21" fillId="25" borderId="47" xfId="0" applyFont="1" applyFill="1" applyBorder="1" applyAlignment="1">
      <alignment horizontal="left" vertical="center" wrapText="1"/>
    </xf>
    <xf numFmtId="0" fontId="21" fillId="25" borderId="54" xfId="0" applyFont="1" applyFill="1" applyBorder="1" applyAlignment="1">
      <alignment horizontal="left" vertical="center" wrapText="1"/>
    </xf>
    <xf numFmtId="0" fontId="45" fillId="0" borderId="48" xfId="0" applyFont="1" applyBorder="1" applyAlignment="1">
      <alignment horizontal="left" vertical="center" wrapText="1"/>
    </xf>
    <xf numFmtId="0" fontId="45" fillId="0" borderId="63" xfId="0" applyFont="1" applyBorder="1" applyAlignment="1">
      <alignment horizontal="left" vertical="center" wrapText="1"/>
    </xf>
    <xf numFmtId="0" fontId="45" fillId="0" borderId="58" xfId="0" applyFont="1" applyBorder="1" applyAlignment="1">
      <alignment horizontal="left" vertical="center" wrapText="1"/>
    </xf>
    <xf numFmtId="0" fontId="45" fillId="0" borderId="86" xfId="0" applyFont="1" applyBorder="1" applyAlignment="1">
      <alignment horizontal="left" vertical="center" wrapText="1"/>
    </xf>
    <xf numFmtId="0" fontId="45" fillId="0" borderId="88" xfId="0" applyFont="1" applyBorder="1" applyAlignment="1">
      <alignment horizontal="left" vertical="center" wrapText="1"/>
    </xf>
    <xf numFmtId="0" fontId="45" fillId="0" borderId="50" xfId="0" applyFont="1" applyBorder="1" applyAlignment="1">
      <alignment horizontal="left" vertical="center" wrapText="1"/>
    </xf>
    <xf numFmtId="0" fontId="44" fillId="0" borderId="0" xfId="0" applyFont="1" applyAlignment="1">
      <alignment horizontal="left" vertical="center" wrapText="1"/>
    </xf>
    <xf numFmtId="0" fontId="45" fillId="0" borderId="51" xfId="0" applyFont="1" applyBorder="1" applyAlignment="1">
      <alignment horizontal="left" vertical="center" wrapText="1"/>
    </xf>
    <xf numFmtId="10" fontId="45" fillId="0" borderId="0" xfId="0" applyNumberFormat="1" applyFont="1" applyAlignment="1">
      <alignment horizontal="left" vertical="center" wrapText="1"/>
    </xf>
    <xf numFmtId="0" fontId="44" fillId="0" borderId="0" xfId="0" applyFont="1" applyAlignment="1">
      <alignment vertical="center" wrapText="1"/>
    </xf>
    <xf numFmtId="0" fontId="44" fillId="0" borderId="0" xfId="0" applyFont="1" applyAlignment="1">
      <alignment vertical="center"/>
    </xf>
    <xf numFmtId="0" fontId="45" fillId="0" borderId="151" xfId="0" applyFont="1" applyBorder="1" applyAlignment="1">
      <alignment horizontal="left" vertical="center" wrapText="1"/>
    </xf>
    <xf numFmtId="0" fontId="45" fillId="0" borderId="152" xfId="0" applyFont="1" applyBorder="1" applyAlignment="1">
      <alignment horizontal="center" vertical="center" wrapText="1"/>
    </xf>
    <xf numFmtId="0" fontId="45" fillId="0" borderId="153" xfId="0" applyFont="1" applyBorder="1" applyAlignment="1">
      <alignment horizontal="center" vertical="center" wrapText="1"/>
    </xf>
    <xf numFmtId="0" fontId="21" fillId="25" borderId="154" xfId="0" applyFont="1" applyFill="1" applyBorder="1" applyAlignment="1">
      <alignment horizontal="left" vertical="center" wrapText="1"/>
    </xf>
    <xf numFmtId="0" fontId="45" fillId="5" borderId="49" xfId="0" applyFont="1" applyFill="1" applyBorder="1" applyAlignment="1">
      <alignment horizontal="center" vertical="center" wrapText="1"/>
    </xf>
    <xf numFmtId="0" fontId="48" fillId="25" borderId="53" xfId="6" applyFont="1" applyFill="1" applyBorder="1" applyAlignment="1">
      <alignment horizontal="right" vertical="center"/>
    </xf>
    <xf numFmtId="0" fontId="27" fillId="25" borderId="53" xfId="0" applyFont="1" applyFill="1" applyBorder="1"/>
    <xf numFmtId="0" fontId="27" fillId="25" borderId="54" xfId="0" applyFont="1" applyFill="1" applyBorder="1"/>
    <xf numFmtId="0" fontId="45" fillId="0" borderId="44"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64"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65" xfId="0" applyFont="1" applyBorder="1" applyAlignment="1">
      <alignment horizontal="center" vertical="center" wrapText="1"/>
    </xf>
    <xf numFmtId="0" fontId="48" fillId="25" borderId="53" xfId="6" applyFont="1" applyFill="1" applyBorder="1" applyAlignment="1">
      <alignment horizontal="right" vertical="center" wrapText="1"/>
    </xf>
    <xf numFmtId="0" fontId="27" fillId="25" borderId="53" xfId="0" applyFont="1" applyFill="1" applyBorder="1" applyAlignment="1">
      <alignment wrapText="1"/>
    </xf>
    <xf numFmtId="0" fontId="27" fillId="25" borderId="54" xfId="0" applyFont="1" applyFill="1" applyBorder="1" applyAlignment="1">
      <alignment wrapText="1"/>
    </xf>
    <xf numFmtId="0" fontId="45" fillId="0" borderId="60"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52" xfId="0" applyFont="1" applyBorder="1" applyAlignment="1">
      <alignment horizontal="center" vertical="center" wrapText="1"/>
    </xf>
    <xf numFmtId="0" fontId="27" fillId="25" borderId="53" xfId="0" applyFont="1" applyFill="1" applyBorder="1" applyAlignment="1">
      <alignment horizontal="left" vertical="center" wrapText="1"/>
    </xf>
    <xf numFmtId="0" fontId="27" fillId="25" borderId="54" xfId="0" applyFont="1" applyFill="1" applyBorder="1" applyAlignment="1">
      <alignment horizontal="left" vertical="center" wrapText="1"/>
    </xf>
    <xf numFmtId="0" fontId="45" fillId="0" borderId="78" xfId="0" applyFont="1" applyBorder="1" applyAlignment="1">
      <alignment horizontal="center" vertical="center" wrapText="1"/>
    </xf>
    <xf numFmtId="0" fontId="45" fillId="0" borderId="87" xfId="0" applyFont="1" applyBorder="1" applyAlignment="1">
      <alignment horizontal="center" vertical="center" wrapText="1"/>
    </xf>
    <xf numFmtId="0" fontId="45" fillId="0" borderId="89" xfId="0" applyFont="1" applyBorder="1" applyAlignment="1">
      <alignment horizontal="center" vertical="center" wrapText="1"/>
    </xf>
    <xf numFmtId="0" fontId="45" fillId="0" borderId="90" xfId="0" applyFont="1" applyBorder="1" applyAlignment="1">
      <alignment horizontal="center" vertical="center" wrapText="1"/>
    </xf>
    <xf numFmtId="0" fontId="45" fillId="0" borderId="32" xfId="0" applyFont="1" applyBorder="1" applyAlignment="1">
      <alignment horizontal="center" vertical="center" wrapText="1"/>
    </xf>
    <xf numFmtId="0" fontId="45" fillId="0" borderId="107" xfId="0" applyFont="1" applyBorder="1" applyAlignment="1">
      <alignment horizontal="center" vertical="center" wrapText="1"/>
    </xf>
    <xf numFmtId="0" fontId="45" fillId="0" borderId="155" xfId="0" applyFont="1" applyBorder="1" applyAlignment="1">
      <alignment horizontal="center" vertical="center" wrapText="1"/>
    </xf>
    <xf numFmtId="0" fontId="45" fillId="0" borderId="156" xfId="0" applyFont="1" applyBorder="1" applyAlignment="1">
      <alignment horizontal="center" vertical="center" wrapText="1"/>
    </xf>
    <xf numFmtId="0" fontId="45" fillId="0" borderId="129" xfId="0" applyFont="1" applyBorder="1" applyAlignment="1">
      <alignment horizontal="center" vertical="center" wrapText="1"/>
    </xf>
    <xf numFmtId="0" fontId="45" fillId="0" borderId="61" xfId="0" applyFont="1" applyBorder="1" applyAlignment="1">
      <alignment horizontal="center" vertical="center" wrapText="1"/>
    </xf>
    <xf numFmtId="0" fontId="45" fillId="0" borderId="157" xfId="0" applyFont="1" applyBorder="1" applyAlignment="1">
      <alignment horizontal="center" vertical="center" wrapText="1"/>
    </xf>
    <xf numFmtId="0" fontId="45" fillId="0" borderId="130" xfId="0" applyFont="1" applyBorder="1" applyAlignment="1">
      <alignment horizontal="center" vertical="center" wrapText="1"/>
    </xf>
    <xf numFmtId="0" fontId="45" fillId="0" borderId="158" xfId="0" applyFont="1" applyBorder="1" applyAlignment="1">
      <alignment horizontal="center" vertical="center" wrapText="1"/>
    </xf>
    <xf numFmtId="0" fontId="45" fillId="0" borderId="150" xfId="0" applyFont="1" applyBorder="1" applyAlignment="1">
      <alignment horizontal="center" vertical="center" wrapText="1"/>
    </xf>
    <xf numFmtId="0" fontId="45" fillId="0" borderId="159" xfId="0" applyFont="1" applyBorder="1" applyAlignment="1">
      <alignment horizontal="center" vertical="center" wrapText="1"/>
    </xf>
    <xf numFmtId="0" fontId="45" fillId="0" borderId="160" xfId="0" applyFont="1" applyBorder="1" applyAlignment="1">
      <alignment horizontal="center" vertical="center" wrapText="1"/>
    </xf>
    <xf numFmtId="0" fontId="45" fillId="0" borderId="161" xfId="0" applyFont="1" applyBorder="1" applyAlignment="1">
      <alignment horizontal="center" vertical="center" wrapText="1"/>
    </xf>
    <xf numFmtId="0" fontId="45" fillId="0" borderId="56" xfId="0" applyFont="1" applyBorder="1" applyAlignment="1">
      <alignment horizontal="center" vertical="center" wrapText="1"/>
    </xf>
    <xf numFmtId="9" fontId="22" fillId="30" borderId="38" xfId="5" applyNumberFormat="1" applyFont="1" applyFill="1" applyBorder="1" applyAlignment="1" applyProtection="1">
      <alignment horizontal="center" vertical="center" wrapText="1"/>
      <protection locked="0"/>
    </xf>
    <xf numFmtId="0" fontId="22" fillId="30" borderId="38" xfId="5" applyFont="1" applyFill="1" applyBorder="1" applyAlignment="1" applyProtection="1">
      <alignment horizontal="center" vertical="center" wrapText="1"/>
      <protection locked="0"/>
    </xf>
    <xf numFmtId="0" fontId="22" fillId="30" borderId="39" xfId="5" applyFont="1" applyFill="1" applyBorder="1" applyAlignment="1" applyProtection="1">
      <alignment horizontal="center" vertical="center" wrapText="1"/>
      <protection locked="0"/>
    </xf>
    <xf numFmtId="0" fontId="21" fillId="25" borderId="163" xfId="5" applyFont="1" applyFill="1" applyBorder="1" applyAlignment="1" applyProtection="1">
      <alignment horizontal="center" vertical="center" wrapText="1"/>
      <protection locked="0"/>
    </xf>
    <xf numFmtId="0" fontId="21" fillId="25" borderId="41" xfId="5" applyFont="1" applyFill="1" applyBorder="1" applyAlignment="1" applyProtection="1">
      <alignment horizontal="center" vertical="center" wrapText="1"/>
      <protection locked="0"/>
    </xf>
    <xf numFmtId="0" fontId="22" fillId="0" borderId="0" xfId="5" applyFont="1" applyAlignment="1" applyProtection="1">
      <alignment vertical="center" wrapText="1"/>
      <protection locked="0"/>
    </xf>
    <xf numFmtId="0" fontId="0" fillId="0" borderId="124" xfId="0" applyBorder="1" applyAlignment="1" applyProtection="1">
      <alignment horizontal="left" vertical="center"/>
      <protection locked="0"/>
    </xf>
    <xf numFmtId="0" fontId="0" fillId="0" borderId="124" xfId="0" applyBorder="1" applyAlignment="1" applyProtection="1">
      <alignment horizontal="left"/>
      <protection locked="0"/>
    </xf>
    <xf numFmtId="0" fontId="0" fillId="0" borderId="124" xfId="0" applyBorder="1" applyAlignment="1">
      <alignment horizontal="left"/>
    </xf>
    <xf numFmtId="0" fontId="0" fillId="0" borderId="124" xfId="0" applyBorder="1" applyAlignment="1">
      <alignment horizontal="left" wrapText="1"/>
    </xf>
    <xf numFmtId="0" fontId="2" fillId="12" borderId="124" xfId="0" applyFont="1" applyFill="1" applyBorder="1" applyAlignment="1">
      <alignment horizontal="center" textRotation="90" wrapText="1"/>
    </xf>
    <xf numFmtId="0" fontId="43" fillId="12" borderId="124" xfId="0" applyFont="1" applyFill="1" applyBorder="1" applyAlignment="1">
      <alignment horizontal="center" vertical="center"/>
    </xf>
    <xf numFmtId="0" fontId="42" fillId="0" borderId="124" xfId="2" applyNumberFormat="1" applyFont="1" applyFill="1" applyBorder="1" applyAlignment="1">
      <alignment horizontal="center" vertical="center" wrapText="1"/>
    </xf>
    <xf numFmtId="9" fontId="42" fillId="0" borderId="124" xfId="2" applyFont="1" applyFill="1" applyBorder="1" applyAlignment="1">
      <alignment horizontal="center" vertical="center" wrapText="1"/>
    </xf>
    <xf numFmtId="0" fontId="2" fillId="15" borderId="124" xfId="0" applyFont="1" applyFill="1" applyBorder="1" applyAlignment="1">
      <alignment horizontal="center" textRotation="90" wrapText="1"/>
    </xf>
    <xf numFmtId="0" fontId="43" fillId="15" borderId="124" xfId="0" applyFont="1" applyFill="1" applyBorder="1" applyAlignment="1">
      <alignment horizontal="center" vertical="center"/>
    </xf>
    <xf numFmtId="0" fontId="43" fillId="22" borderId="124" xfId="0" applyFont="1" applyFill="1" applyBorder="1" applyAlignment="1">
      <alignment horizontal="center" vertical="center" wrapText="1"/>
    </xf>
    <xf numFmtId="0" fontId="42" fillId="31" borderId="42" xfId="0" applyFont="1" applyFill="1" applyBorder="1" applyAlignment="1" applyProtection="1">
      <alignment horizontal="left" vertical="center"/>
      <protection locked="0"/>
    </xf>
    <xf numFmtId="0" fontId="42" fillId="31" borderId="42" xfId="0" applyFont="1" applyFill="1" applyBorder="1" applyAlignment="1">
      <alignment horizontal="left" vertical="center"/>
    </xf>
    <xf numFmtId="0" fontId="42" fillId="31" borderId="42" xfId="0" applyFont="1" applyFill="1" applyBorder="1" applyAlignment="1">
      <alignment horizontal="left" vertical="center" wrapText="1"/>
    </xf>
    <xf numFmtId="0" fontId="42" fillId="31" borderId="107" xfId="0" applyFont="1" applyFill="1" applyBorder="1" applyAlignment="1">
      <alignment horizontal="left" vertical="center" wrapText="1"/>
    </xf>
    <xf numFmtId="0" fontId="42" fillId="31" borderId="42" xfId="0" applyFont="1" applyFill="1" applyBorder="1" applyAlignment="1">
      <alignment horizontal="center" vertical="center"/>
    </xf>
    <xf numFmtId="9" fontId="42" fillId="31" borderId="42" xfId="2" applyFont="1" applyFill="1" applyBorder="1" applyAlignment="1">
      <alignment horizontal="center" vertical="center"/>
    </xf>
    <xf numFmtId="14" fontId="42" fillId="31" borderId="42" xfId="0" applyNumberFormat="1" applyFont="1" applyFill="1" applyBorder="1" applyAlignment="1">
      <alignment horizontal="center" vertical="center"/>
    </xf>
    <xf numFmtId="0" fontId="42" fillId="31" borderId="124" xfId="0" applyFont="1" applyFill="1" applyBorder="1" applyAlignment="1">
      <alignment horizontal="center" vertical="center"/>
    </xf>
    <xf numFmtId="0" fontId="42" fillId="31" borderId="78" xfId="0" applyFont="1" applyFill="1" applyBorder="1" applyAlignment="1">
      <alignment horizontal="center" vertical="center"/>
    </xf>
    <xf numFmtId="0" fontId="42" fillId="31" borderId="107" xfId="0" applyFont="1" applyFill="1" applyBorder="1" applyAlignment="1">
      <alignment horizontal="left" vertical="center"/>
    </xf>
    <xf numFmtId="165" fontId="42" fillId="31" borderId="42" xfId="2" applyNumberFormat="1" applyFont="1" applyFill="1" applyBorder="1" applyAlignment="1">
      <alignment horizontal="center" vertical="center" wrapText="1"/>
    </xf>
    <xf numFmtId="1" fontId="42" fillId="31" borderId="78" xfId="2" applyNumberFormat="1" applyFont="1" applyFill="1" applyBorder="1" applyAlignment="1">
      <alignment horizontal="center" vertical="center" wrapText="1"/>
    </xf>
    <xf numFmtId="9" fontId="42" fillId="31" borderId="42" xfId="2" applyFont="1" applyFill="1" applyBorder="1" applyAlignment="1">
      <alignment horizontal="center" vertical="center" wrapText="1"/>
    </xf>
    <xf numFmtId="10" fontId="42" fillId="31" borderId="42" xfId="2" applyNumberFormat="1" applyFont="1" applyFill="1" applyBorder="1" applyAlignment="1">
      <alignment horizontal="center" vertical="center" wrapText="1"/>
    </xf>
    <xf numFmtId="0" fontId="42" fillId="31" borderId="42" xfId="2" applyNumberFormat="1" applyFont="1" applyFill="1" applyBorder="1" applyAlignment="1">
      <alignment horizontal="center" vertical="center" wrapText="1"/>
    </xf>
    <xf numFmtId="0" fontId="42" fillId="31" borderId="124" xfId="2" applyNumberFormat="1" applyFont="1" applyFill="1" applyBorder="1" applyAlignment="1">
      <alignment horizontal="center" vertical="center" wrapText="1"/>
    </xf>
    <xf numFmtId="9" fontId="42" fillId="31" borderId="124" xfId="2" applyFont="1" applyFill="1" applyBorder="1" applyAlignment="1">
      <alignment horizontal="center" vertical="center" wrapText="1"/>
    </xf>
    <xf numFmtId="9" fontId="42" fillId="31" borderId="78" xfId="2" applyFont="1" applyFill="1" applyBorder="1" applyAlignment="1">
      <alignment horizontal="center" vertical="center" wrapText="1"/>
    </xf>
    <xf numFmtId="0" fontId="42" fillId="31" borderId="42" xfId="0" applyFont="1" applyFill="1" applyBorder="1" applyAlignment="1">
      <alignment horizontal="center" vertical="center" wrapText="1"/>
    </xf>
    <xf numFmtId="0" fontId="42" fillId="31" borderId="78" xfId="0" applyFont="1" applyFill="1" applyBorder="1" applyAlignment="1">
      <alignment horizontal="center" vertical="center" wrapText="1"/>
    </xf>
    <xf numFmtId="1" fontId="42" fillId="31" borderId="42" xfId="0" applyNumberFormat="1" applyFont="1" applyFill="1" applyBorder="1" applyAlignment="1">
      <alignment horizontal="center" vertical="center" wrapText="1"/>
    </xf>
    <xf numFmtId="2" fontId="42" fillId="31" borderId="42" xfId="0" applyNumberFormat="1" applyFont="1" applyFill="1" applyBorder="1" applyAlignment="1">
      <alignment horizontal="center" vertical="center" wrapText="1"/>
    </xf>
    <xf numFmtId="0" fontId="42" fillId="31" borderId="124" xfId="0" applyFont="1" applyFill="1" applyBorder="1" applyAlignment="1" applyProtection="1">
      <alignment horizontal="left" vertical="center"/>
      <protection locked="0"/>
    </xf>
    <xf numFmtId="0" fontId="42" fillId="31" borderId="124" xfId="0" applyFont="1" applyFill="1" applyBorder="1" applyAlignment="1">
      <alignment horizontal="left" vertical="center"/>
    </xf>
    <xf numFmtId="0" fontId="42" fillId="31" borderId="124" xfId="0" applyFont="1" applyFill="1" applyBorder="1" applyAlignment="1">
      <alignment horizontal="left" vertical="center" wrapText="1"/>
    </xf>
    <xf numFmtId="10" fontId="42" fillId="14" borderId="124" xfId="2" applyNumberFormat="1" applyFont="1" applyFill="1" applyBorder="1" applyAlignment="1">
      <alignment horizontal="center" vertical="center" wrapText="1"/>
    </xf>
    <xf numFmtId="10" fontId="42" fillId="31" borderId="42" xfId="0" applyNumberFormat="1" applyFont="1" applyFill="1" applyBorder="1" applyAlignment="1">
      <alignment horizontal="center" vertical="center"/>
    </xf>
    <xf numFmtId="10" fontId="42" fillId="31" borderId="124" xfId="0" applyNumberFormat="1" applyFont="1" applyFill="1" applyBorder="1" applyAlignment="1">
      <alignment horizontal="center" vertical="center"/>
    </xf>
    <xf numFmtId="2" fontId="18" fillId="0" borderId="24" xfId="2" applyNumberFormat="1" applyFont="1" applyFill="1" applyBorder="1" applyAlignment="1">
      <alignment horizontal="center" vertical="center" wrapText="1"/>
    </xf>
    <xf numFmtId="0" fontId="2" fillId="6" borderId="124" xfId="0" applyFont="1" applyFill="1" applyBorder="1" applyAlignment="1">
      <alignment horizontal="center" vertical="center"/>
    </xf>
    <xf numFmtId="165" fontId="2" fillId="6" borderId="78" xfId="2" applyNumberFormat="1" applyFont="1" applyFill="1" applyBorder="1" applyAlignment="1">
      <alignment horizontal="center" vertical="center" wrapText="1"/>
    </xf>
    <xf numFmtId="0" fontId="31" fillId="6" borderId="78" xfId="3" applyFont="1" applyFill="1" applyBorder="1" applyAlignment="1">
      <alignment horizontal="center" vertical="center" wrapText="1"/>
    </xf>
    <xf numFmtId="1" fontId="2" fillId="22" borderId="84" xfId="4" applyNumberFormat="1" applyFont="1" applyFill="1" applyBorder="1" applyAlignment="1" applyProtection="1">
      <alignment horizontal="center" vertical="center" wrapText="1"/>
    </xf>
    <xf numFmtId="165" fontId="2" fillId="6" borderId="137" xfId="2" applyNumberFormat="1" applyFont="1" applyFill="1" applyBorder="1" applyAlignment="1">
      <alignment horizontal="center" vertical="center" wrapText="1"/>
    </xf>
    <xf numFmtId="0" fontId="31" fillId="6" borderId="11" xfId="3" applyFont="1" applyFill="1" applyBorder="1" applyAlignment="1">
      <alignment horizontal="center" vertical="center" wrapText="1"/>
    </xf>
    <xf numFmtId="1" fontId="2" fillId="6" borderId="78" xfId="2" applyNumberFormat="1" applyFont="1" applyFill="1" applyBorder="1" applyAlignment="1">
      <alignment horizontal="center" vertical="center" wrapText="1"/>
    </xf>
    <xf numFmtId="9" fontId="10" fillId="6" borderId="25" xfId="4" applyFont="1" applyFill="1" applyBorder="1" applyAlignment="1" applyProtection="1">
      <alignment horizontal="center" vertical="center" wrapText="1"/>
    </xf>
    <xf numFmtId="165" fontId="2" fillId="6" borderId="24" xfId="2" applyNumberFormat="1" applyFont="1" applyFill="1" applyBorder="1" applyAlignment="1">
      <alignment horizontal="center" vertical="center"/>
    </xf>
    <xf numFmtId="1" fontId="2" fillId="6" borderId="24" xfId="2" applyNumberFormat="1" applyFont="1" applyFill="1" applyBorder="1" applyAlignment="1">
      <alignment horizontal="center" vertical="center" wrapText="1"/>
    </xf>
    <xf numFmtId="2" fontId="2" fillId="6" borderId="24" xfId="2" applyNumberFormat="1" applyFont="1" applyFill="1" applyBorder="1" applyAlignment="1">
      <alignment horizontal="center" vertical="center" wrapText="1"/>
    </xf>
    <xf numFmtId="49" fontId="44" fillId="0" borderId="0" xfId="0" applyNumberFormat="1" applyFont="1"/>
    <xf numFmtId="0" fontId="44" fillId="0" borderId="0" xfId="0" applyFont="1" applyAlignment="1">
      <alignment horizontal="center"/>
    </xf>
    <xf numFmtId="0" fontId="21" fillId="25" borderId="175" xfId="0" applyFont="1" applyFill="1" applyBorder="1" applyAlignment="1">
      <alignment horizontal="left" vertical="center" wrapText="1"/>
    </xf>
    <xf numFmtId="0" fontId="44" fillId="0" borderId="175" xfId="0" applyFont="1" applyBorder="1"/>
    <xf numFmtId="0" fontId="44" fillId="0" borderId="124" xfId="0" applyFont="1" applyBorder="1" applyAlignment="1">
      <alignment horizontal="center"/>
    </xf>
    <xf numFmtId="0" fontId="44" fillId="0" borderId="176" xfId="0" applyFont="1" applyBorder="1" applyAlignment="1">
      <alignment horizontal="center"/>
    </xf>
    <xf numFmtId="49" fontId="44" fillId="0" borderId="175" xfId="0" applyNumberFormat="1" applyFont="1" applyBorder="1"/>
    <xf numFmtId="49" fontId="44" fillId="0" borderId="177" xfId="0" applyNumberFormat="1" applyFont="1" applyBorder="1"/>
    <xf numFmtId="0" fontId="44" fillId="0" borderId="178" xfId="0" applyFont="1" applyBorder="1" applyAlignment="1">
      <alignment horizontal="center"/>
    </xf>
    <xf numFmtId="0" fontId="45" fillId="0" borderId="124" xfId="0" applyFont="1" applyBorder="1" applyAlignment="1">
      <alignment horizontal="center" vertical="center" wrapText="1"/>
    </xf>
    <xf numFmtId="0" fontId="45" fillId="0" borderId="175" xfId="0" applyFont="1" applyBorder="1" applyAlignment="1">
      <alignment horizontal="left" vertical="center" wrapText="1"/>
    </xf>
    <xf numFmtId="0" fontId="45" fillId="0" borderId="176" xfId="0" applyFont="1" applyBorder="1" applyAlignment="1">
      <alignment horizontal="center" vertical="center" wrapText="1"/>
    </xf>
    <xf numFmtId="0" fontId="45" fillId="0" borderId="178" xfId="0" applyFont="1" applyBorder="1" applyAlignment="1">
      <alignment horizontal="center" vertical="center" wrapText="1"/>
    </xf>
    <xf numFmtId="0" fontId="45" fillId="0" borderId="179" xfId="0" applyFont="1" applyBorder="1" applyAlignment="1">
      <alignment horizontal="center" vertical="center" wrapText="1"/>
    </xf>
    <xf numFmtId="0" fontId="45" fillId="6" borderId="155" xfId="0" applyFont="1" applyFill="1" applyBorder="1" applyAlignment="1">
      <alignment horizontal="center" vertical="center" wrapText="1"/>
    </xf>
    <xf numFmtId="0" fontId="45" fillId="0" borderId="137" xfId="0" applyFont="1" applyBorder="1" applyAlignment="1">
      <alignment horizontal="center" vertical="center" wrapText="1"/>
    </xf>
    <xf numFmtId="0" fontId="45" fillId="6" borderId="175" xfId="0" applyFont="1" applyFill="1" applyBorder="1" applyAlignment="1">
      <alignment horizontal="left" vertical="center" wrapText="1"/>
    </xf>
    <xf numFmtId="0" fontId="44" fillId="5" borderId="49" xfId="0" applyFont="1" applyFill="1" applyBorder="1" applyAlignment="1">
      <alignment horizontal="center" vertical="center" wrapText="1"/>
    </xf>
    <xf numFmtId="0" fontId="27" fillId="25" borderId="124" xfId="0" applyFont="1" applyFill="1" applyBorder="1" applyAlignment="1">
      <alignment horizontal="left" vertical="center" wrapText="1"/>
    </xf>
    <xf numFmtId="0" fontId="27" fillId="25" borderId="176" xfId="0" applyFont="1" applyFill="1" applyBorder="1" applyAlignment="1">
      <alignment horizontal="left" vertical="center" wrapText="1"/>
    </xf>
    <xf numFmtId="0" fontId="27" fillId="25" borderId="175" xfId="0" applyFont="1" applyFill="1" applyBorder="1" applyAlignment="1">
      <alignment horizontal="left" vertical="center" wrapText="1"/>
    </xf>
    <xf numFmtId="0" fontId="21" fillId="25" borderId="124" xfId="0" applyFont="1" applyFill="1" applyBorder="1" applyAlignment="1">
      <alignment vertical="center" wrapText="1"/>
    </xf>
    <xf numFmtId="0" fontId="21" fillId="25" borderId="176" xfId="0" applyFont="1" applyFill="1" applyBorder="1" applyAlignment="1">
      <alignment vertical="center" wrapText="1"/>
    </xf>
    <xf numFmtId="0" fontId="44" fillId="0" borderId="124" xfId="0" applyFont="1" applyBorder="1" applyAlignment="1">
      <alignment horizontal="center" vertical="center" wrapText="1"/>
    </xf>
    <xf numFmtId="0" fontId="44" fillId="0" borderId="176" xfId="0" applyFont="1" applyBorder="1" applyAlignment="1">
      <alignment horizontal="center" vertical="center" wrapText="1"/>
    </xf>
    <xf numFmtId="0" fontId="45" fillId="0" borderId="177" xfId="0" applyFont="1" applyBorder="1" applyAlignment="1">
      <alignment horizontal="left" vertical="center" wrapText="1"/>
    </xf>
    <xf numFmtId="0" fontId="44" fillId="0" borderId="178" xfId="0" applyFont="1" applyBorder="1" applyAlignment="1">
      <alignment horizontal="center" vertical="center" wrapText="1"/>
    </xf>
    <xf numFmtId="0" fontId="44" fillId="0" borderId="179" xfId="0" applyFont="1" applyBorder="1" applyAlignment="1">
      <alignment horizontal="center" vertical="center" wrapText="1"/>
    </xf>
    <xf numFmtId="0" fontId="45" fillId="0" borderId="180" xfId="0" applyFont="1" applyBorder="1" applyAlignment="1">
      <alignment horizontal="left" vertical="center" wrapText="1"/>
    </xf>
    <xf numFmtId="0" fontId="46" fillId="0" borderId="175" xfId="0" applyFont="1" applyBorder="1" applyAlignment="1">
      <alignment horizontal="left" vertical="center" wrapText="1"/>
    </xf>
    <xf numFmtId="0" fontId="46" fillId="0" borderId="155" xfId="0" applyFont="1" applyBorder="1" applyAlignment="1">
      <alignment horizontal="center" vertical="center" wrapText="1"/>
    </xf>
    <xf numFmtId="0" fontId="46" fillId="0" borderId="124" xfId="0" applyFont="1" applyBorder="1" applyAlignment="1">
      <alignment horizontal="center" vertical="center" wrapText="1"/>
    </xf>
    <xf numFmtId="0" fontId="46" fillId="0" borderId="176" xfId="0" applyFont="1" applyBorder="1" applyAlignment="1">
      <alignment horizontal="center" vertical="center" wrapText="1"/>
    </xf>
    <xf numFmtId="0" fontId="46" fillId="0" borderId="156" xfId="0" applyFont="1" applyBorder="1" applyAlignment="1">
      <alignment horizontal="center" vertical="center" wrapText="1"/>
    </xf>
    <xf numFmtId="0" fontId="46" fillId="0" borderId="178" xfId="0" applyFont="1" applyBorder="1" applyAlignment="1">
      <alignment horizontal="center" vertical="center" wrapText="1"/>
    </xf>
    <xf numFmtId="0" fontId="46" fillId="0" borderId="179" xfId="0" applyFont="1" applyBorder="1" applyAlignment="1">
      <alignment horizontal="center" vertical="center" wrapText="1"/>
    </xf>
    <xf numFmtId="10" fontId="45" fillId="0" borderId="176" xfId="0" applyNumberFormat="1" applyFont="1" applyBorder="1" applyAlignment="1">
      <alignment horizontal="center" vertical="center" wrapText="1"/>
    </xf>
    <xf numFmtId="10" fontId="45" fillId="0" borderId="181" xfId="0" applyNumberFormat="1" applyFont="1" applyBorder="1" applyAlignment="1">
      <alignment horizontal="center" vertical="center" wrapText="1"/>
    </xf>
    <xf numFmtId="0" fontId="3" fillId="0" borderId="175" xfId="0" applyFont="1" applyBorder="1" applyAlignment="1">
      <alignment wrapText="1"/>
    </xf>
    <xf numFmtId="0" fontId="22" fillId="0" borderId="175" xfId="0" applyFont="1" applyBorder="1" applyAlignment="1">
      <alignment wrapText="1"/>
    </xf>
    <xf numFmtId="0" fontId="22" fillId="0" borderId="177" xfId="0" applyFont="1" applyBorder="1" applyAlignment="1">
      <alignment wrapText="1"/>
    </xf>
    <xf numFmtId="2" fontId="46" fillId="0" borderId="178" xfId="2" applyNumberFormat="1" applyFont="1" applyBorder="1" applyAlignment="1">
      <alignment horizontal="center" vertical="center" wrapText="1"/>
    </xf>
    <xf numFmtId="2" fontId="46" fillId="0" borderId="179" xfId="2" applyNumberFormat="1" applyFont="1" applyBorder="1" applyAlignment="1">
      <alignment horizontal="center" vertical="center" wrapText="1"/>
    </xf>
    <xf numFmtId="1" fontId="2" fillId="0" borderId="24" xfId="2" applyNumberFormat="1" applyFont="1" applyFill="1" applyBorder="1" applyAlignment="1">
      <alignment horizontal="center" vertical="center" wrapText="1"/>
    </xf>
    <xf numFmtId="0" fontId="2" fillId="19" borderId="107"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19" borderId="124" xfId="0" applyFont="1" applyFill="1" applyBorder="1" applyAlignment="1">
      <alignment horizontal="left" vertical="center" wrapText="1"/>
    </xf>
    <xf numFmtId="0" fontId="2" fillId="19" borderId="78" xfId="0" applyFont="1" applyFill="1" applyBorder="1" applyAlignment="1">
      <alignment horizontal="left" vertical="center" wrapText="1"/>
    </xf>
    <xf numFmtId="44" fontId="42" fillId="31" borderId="42" xfId="0" applyNumberFormat="1" applyFont="1" applyFill="1" applyBorder="1" applyAlignment="1">
      <alignment horizontal="center" vertical="center"/>
    </xf>
    <xf numFmtId="9" fontId="42" fillId="0" borderId="42" xfId="2" applyFont="1" applyFill="1" applyBorder="1" applyAlignment="1">
      <alignment horizontal="center" vertical="center"/>
    </xf>
    <xf numFmtId="0" fontId="2" fillId="0" borderId="184" xfId="0" applyFont="1" applyBorder="1" applyAlignment="1">
      <alignment horizontal="center" vertical="center" wrapText="1"/>
    </xf>
    <xf numFmtId="0" fontId="42" fillId="0" borderId="42" xfId="0" applyFont="1" applyBorder="1" applyAlignment="1">
      <alignment horizontal="center" vertical="center"/>
    </xf>
    <xf numFmtId="14" fontId="42" fillId="0" borderId="42" xfId="0" applyNumberFormat="1" applyFont="1" applyBorder="1" applyAlignment="1">
      <alignment horizontal="center" vertical="center"/>
    </xf>
    <xf numFmtId="44" fontId="42" fillId="0" borderId="42" xfId="0" applyNumberFormat="1" applyFont="1" applyBorder="1" applyAlignment="1">
      <alignment horizontal="center" vertical="center"/>
    </xf>
    <xf numFmtId="0" fontId="42" fillId="0" borderId="124" xfId="0" applyFont="1" applyBorder="1" applyAlignment="1">
      <alignment horizontal="center" vertical="center"/>
    </xf>
    <xf numFmtId="0" fontId="42" fillId="0" borderId="78" xfId="0" applyFont="1" applyBorder="1" applyAlignment="1">
      <alignment horizontal="center" vertical="center"/>
    </xf>
    <xf numFmtId="9" fontId="42" fillId="0" borderId="42" xfId="0" applyNumberFormat="1" applyFont="1" applyBorder="1" applyAlignment="1">
      <alignment horizontal="center" vertical="center"/>
    </xf>
    <xf numFmtId="0" fontId="42" fillId="0" borderId="184" xfId="0" applyFont="1" applyBorder="1" applyAlignment="1" applyProtection="1">
      <alignment horizontal="left" vertical="center"/>
      <protection locked="0"/>
    </xf>
    <xf numFmtId="0" fontId="42" fillId="0" borderId="184" xfId="0" applyFont="1" applyBorder="1" applyAlignment="1">
      <alignment horizontal="left" vertical="center"/>
    </xf>
    <xf numFmtId="0" fontId="42" fillId="0" borderId="184" xfId="0" applyFont="1" applyBorder="1" applyAlignment="1">
      <alignment horizontal="center" vertical="center"/>
    </xf>
    <xf numFmtId="9" fontId="42" fillId="0" borderId="184" xfId="2" applyFont="1" applyFill="1" applyBorder="1" applyAlignment="1">
      <alignment horizontal="center" vertical="center"/>
    </xf>
    <xf numFmtId="14" fontId="42" fillId="0" borderId="184" xfId="0" applyNumberFormat="1" applyFont="1" applyBorder="1" applyAlignment="1">
      <alignment horizontal="center" vertical="center"/>
    </xf>
    <xf numFmtId="44" fontId="42" fillId="0" borderId="184" xfId="0" applyNumberFormat="1" applyFont="1" applyBorder="1" applyAlignment="1">
      <alignment horizontal="center" vertical="center"/>
    </xf>
    <xf numFmtId="9" fontId="42" fillId="0" borderId="184" xfId="0" applyNumberFormat="1" applyFont="1" applyBorder="1" applyAlignment="1">
      <alignment horizontal="center" vertical="center"/>
    </xf>
    <xf numFmtId="0" fontId="43" fillId="22" borderId="184" xfId="0" applyFont="1" applyFill="1" applyBorder="1" applyAlignment="1">
      <alignment horizontal="center" vertical="center" wrapText="1"/>
    </xf>
    <xf numFmtId="1" fontId="10" fillId="22" borderId="11" xfId="4" applyNumberFormat="1" applyFont="1" applyFill="1" applyBorder="1" applyAlignment="1" applyProtection="1">
      <alignment horizontal="center" vertical="center"/>
    </xf>
    <xf numFmtId="1" fontId="10" fillId="22" borderId="12" xfId="4" applyNumberFormat="1" applyFont="1" applyFill="1" applyBorder="1" applyAlignment="1" applyProtection="1">
      <alignment horizontal="center" vertical="center"/>
    </xf>
    <xf numFmtId="1" fontId="10" fillId="22" borderId="15" xfId="4" applyNumberFormat="1" applyFont="1" applyFill="1" applyBorder="1" applyAlignment="1" applyProtection="1">
      <alignment horizontal="center" vertical="center"/>
    </xf>
    <xf numFmtId="1" fontId="10" fillId="22" borderId="28" xfId="4" applyNumberFormat="1" applyFont="1" applyFill="1" applyBorder="1" applyAlignment="1" applyProtection="1">
      <alignment horizontal="center" vertical="center"/>
    </xf>
    <xf numFmtId="9" fontId="51" fillId="30" borderId="38" xfId="5" applyNumberFormat="1" applyFont="1" applyFill="1" applyBorder="1" applyAlignment="1" applyProtection="1">
      <alignment horizontal="center" vertical="center" wrapText="1"/>
      <protection locked="0"/>
    </xf>
    <xf numFmtId="0" fontId="22" fillId="0" borderId="155" xfId="5" applyFont="1" applyBorder="1" applyAlignment="1" applyProtection="1">
      <alignment vertical="center" wrapText="1"/>
      <protection locked="0"/>
    </xf>
    <xf numFmtId="0" fontId="22" fillId="30" borderId="155" xfId="5" applyFont="1" applyFill="1" applyBorder="1" applyAlignment="1" applyProtection="1">
      <alignment horizontal="center" vertical="center" wrapText="1"/>
      <protection locked="0"/>
    </xf>
    <xf numFmtId="0" fontId="21" fillId="20" borderId="184" xfId="5" applyFont="1" applyFill="1" applyBorder="1" applyAlignment="1" applyProtection="1">
      <alignment horizontal="center" vertical="center" wrapText="1"/>
      <protection locked="0"/>
    </xf>
    <xf numFmtId="0" fontId="21" fillId="29" borderId="184" xfId="5" applyFont="1" applyFill="1" applyBorder="1" applyAlignment="1" applyProtection="1">
      <alignment horizontal="center" vertical="center" wrapText="1"/>
      <protection locked="0"/>
    </xf>
    <xf numFmtId="0" fontId="22" fillId="0" borderId="184" xfId="3" applyFont="1" applyBorder="1" applyAlignment="1" applyProtection="1">
      <alignment vertical="center" wrapText="1"/>
      <protection locked="0"/>
    </xf>
    <xf numFmtId="0" fontId="22" fillId="0" borderId="184" xfId="5" applyFont="1" applyBorder="1" applyAlignment="1" applyProtection="1">
      <alignment vertical="center" wrapText="1"/>
      <protection locked="0"/>
    </xf>
    <xf numFmtId="0" fontId="22" fillId="30" borderId="184" xfId="5" applyFont="1" applyFill="1" applyBorder="1" applyAlignment="1" applyProtection="1">
      <alignment horizontal="center" vertical="center" wrapText="1"/>
      <protection locked="0"/>
    </xf>
    <xf numFmtId="0" fontId="1" fillId="0" borderId="0" xfId="5" applyFont="1" applyAlignment="1">
      <alignment horizontal="left" vertical="center" wrapText="1"/>
    </xf>
    <xf numFmtId="0" fontId="0" fillId="0" borderId="184" xfId="5" applyFont="1" applyBorder="1" applyAlignment="1">
      <alignment horizontal="left" vertical="center" wrapText="1"/>
    </xf>
    <xf numFmtId="0" fontId="1" fillId="0" borderId="187" xfId="5" applyFont="1" applyBorder="1" applyAlignment="1">
      <alignment horizontal="left" vertical="center" wrapText="1"/>
    </xf>
    <xf numFmtId="0" fontId="1" fillId="0" borderId="184" xfId="5" applyFont="1" applyBorder="1" applyAlignment="1">
      <alignment horizontal="left" vertical="center" wrapText="1"/>
    </xf>
    <xf numFmtId="0" fontId="2" fillId="0" borderId="184" xfId="3" applyFont="1" applyBorder="1" applyAlignment="1">
      <alignment horizontal="left" vertical="center" wrapText="1"/>
    </xf>
    <xf numFmtId="0" fontId="2" fillId="0" borderId="184" xfId="5" applyFont="1" applyBorder="1" applyAlignment="1">
      <alignment horizontal="left" vertical="center" wrapText="1"/>
    </xf>
    <xf numFmtId="0" fontId="17" fillId="20" borderId="184" xfId="5" applyFont="1" applyFill="1" applyBorder="1" applyAlignment="1">
      <alignment horizontal="center" vertical="center" wrapText="1"/>
    </xf>
    <xf numFmtId="0" fontId="2" fillId="0" borderId="0" xfId="5" applyFont="1" applyAlignment="1">
      <alignment horizontal="left" vertical="center" wrapText="1"/>
    </xf>
    <xf numFmtId="0" fontId="2" fillId="0" borderId="93" xfId="5" applyFont="1" applyBorder="1" applyAlignment="1">
      <alignment horizontal="left" vertical="center" wrapText="1"/>
    </xf>
    <xf numFmtId="0" fontId="22" fillId="0" borderId="93" xfId="5" applyFont="1" applyBorder="1" applyAlignment="1" applyProtection="1">
      <alignment horizontal="left" vertical="center" wrapText="1"/>
      <protection locked="0"/>
    </xf>
    <xf numFmtId="0" fontId="10" fillId="0" borderId="0" xfId="5" applyFont="1" applyAlignment="1">
      <alignment horizontal="left" vertical="center"/>
    </xf>
    <xf numFmtId="0" fontId="22" fillId="0" borderId="98" xfId="5" applyFont="1" applyBorder="1" applyAlignment="1" applyProtection="1">
      <alignment horizontal="left" vertical="center" wrapText="1"/>
      <protection locked="0"/>
    </xf>
    <xf numFmtId="0" fontId="22" fillId="0" borderId="39" xfId="5" applyFont="1" applyBorder="1" applyAlignment="1" applyProtection="1">
      <alignment horizontal="left" vertical="center" wrapText="1"/>
      <protection locked="0"/>
    </xf>
    <xf numFmtId="0" fontId="0" fillId="0" borderId="155" xfId="5" applyFont="1" applyBorder="1" applyAlignment="1">
      <alignment horizontal="left" vertical="center" wrapText="1"/>
    </xf>
    <xf numFmtId="0" fontId="22" fillId="0" borderId="184" xfId="5" applyFont="1" applyBorder="1" applyAlignment="1" applyProtection="1">
      <alignment horizontal="left" vertical="center" wrapText="1"/>
      <protection locked="0"/>
    </xf>
    <xf numFmtId="0" fontId="22" fillId="0" borderId="184" xfId="3" applyFont="1" applyBorder="1" applyAlignment="1" applyProtection="1">
      <alignment horizontal="left" vertical="center" wrapText="1"/>
      <protection locked="0"/>
    </xf>
    <xf numFmtId="9" fontId="22" fillId="0" borderId="184" xfId="5" applyNumberFormat="1" applyFont="1" applyBorder="1" applyAlignment="1" applyProtection="1">
      <alignment horizontal="center" vertical="center" wrapText="1"/>
      <protection locked="0"/>
    </xf>
    <xf numFmtId="0" fontId="22" fillId="0" borderId="184" xfId="5" applyFont="1" applyBorder="1" applyAlignment="1" applyProtection="1">
      <alignment horizontal="center" vertical="center" wrapText="1"/>
      <protection locked="0"/>
    </xf>
    <xf numFmtId="0" fontId="23" fillId="0" borderId="0" xfId="5" applyAlignment="1" applyProtection="1">
      <alignment horizontal="left"/>
      <protection locked="0"/>
    </xf>
    <xf numFmtId="0" fontId="21" fillId="25" borderId="184" xfId="5" applyFont="1" applyFill="1" applyBorder="1" applyAlignment="1" applyProtection="1">
      <alignment horizontal="center" vertical="center" wrapText="1"/>
      <protection locked="0"/>
    </xf>
    <xf numFmtId="0" fontId="21" fillId="25" borderId="184" xfId="5" applyFont="1" applyFill="1" applyBorder="1" applyAlignment="1">
      <alignment horizontal="left" vertical="center" wrapText="1"/>
    </xf>
    <xf numFmtId="1" fontId="21" fillId="25" borderId="184" xfId="5" applyNumberFormat="1" applyFont="1" applyFill="1" applyBorder="1" applyAlignment="1">
      <alignment horizontal="left" vertical="center" wrapText="1"/>
    </xf>
    <xf numFmtId="1" fontId="35" fillId="2" borderId="184" xfId="5" applyNumberFormat="1" applyFont="1" applyFill="1" applyBorder="1" applyAlignment="1">
      <alignment horizontal="left" vertical="center" wrapText="1"/>
    </xf>
    <xf numFmtId="0" fontId="36" fillId="19" borderId="184" xfId="5" applyFont="1" applyFill="1" applyBorder="1" applyAlignment="1" applyProtection="1">
      <alignment horizontal="center" vertical="center" wrapText="1"/>
      <protection locked="0"/>
    </xf>
    <xf numFmtId="0" fontId="23" fillId="0" borderId="184" xfId="5" applyBorder="1" applyAlignment="1" applyProtection="1">
      <alignment vertical="center" wrapText="1"/>
      <protection locked="0"/>
    </xf>
    <xf numFmtId="9" fontId="23" fillId="0" borderId="184" xfId="5" applyNumberFormat="1" applyBorder="1" applyAlignment="1" applyProtection="1">
      <alignment horizontal="center" vertical="center" wrapText="1"/>
      <protection locked="0"/>
    </xf>
    <xf numFmtId="0" fontId="23" fillId="0" borderId="184" xfId="5" applyBorder="1" applyAlignment="1" applyProtection="1">
      <alignment horizontal="center" vertical="center" wrapText="1"/>
      <protection locked="0"/>
    </xf>
    <xf numFmtId="0" fontId="42" fillId="0" borderId="42" xfId="0" applyFont="1" applyBorder="1" applyAlignment="1">
      <alignment horizontal="left" vertical="center" wrapText="1"/>
    </xf>
    <xf numFmtId="0" fontId="45" fillId="0" borderId="188" xfId="0" applyFont="1" applyBorder="1" applyAlignment="1">
      <alignment horizontal="center" vertical="center" wrapText="1"/>
    </xf>
    <xf numFmtId="0" fontId="45" fillId="0" borderId="115" xfId="0" applyFont="1" applyBorder="1" applyAlignment="1">
      <alignment horizontal="center" vertical="center" wrapText="1"/>
    </xf>
    <xf numFmtId="0" fontId="45" fillId="0" borderId="193" xfId="0" applyFont="1" applyBorder="1" applyAlignment="1">
      <alignment horizontal="center" vertical="center" wrapText="1"/>
    </xf>
    <xf numFmtId="0" fontId="45" fillId="0" borderId="197" xfId="0" applyFont="1" applyBorder="1" applyAlignment="1">
      <alignment horizontal="center" vertical="center" wrapText="1"/>
    </xf>
    <xf numFmtId="0" fontId="45" fillId="0" borderId="198" xfId="0" applyFont="1" applyBorder="1" applyAlignment="1">
      <alignment horizontal="center" vertical="center" wrapText="1"/>
    </xf>
    <xf numFmtId="0" fontId="44" fillId="0" borderId="179" xfId="0" applyFont="1" applyBorder="1" applyAlignment="1">
      <alignment horizontal="center"/>
    </xf>
    <xf numFmtId="0" fontId="45" fillId="0" borderId="187" xfId="0" applyFont="1" applyBorder="1" applyAlignment="1">
      <alignment horizontal="center" vertical="center" wrapText="1"/>
    </xf>
    <xf numFmtId="0" fontId="45" fillId="0" borderId="117" xfId="0" applyFont="1" applyBorder="1" applyAlignment="1">
      <alignment horizontal="center" vertical="center" wrapText="1"/>
    </xf>
    <xf numFmtId="0" fontId="51" fillId="5" borderId="49" xfId="0" applyFont="1" applyFill="1" applyBorder="1" applyAlignment="1">
      <alignment horizontal="center" vertical="center" wrapText="1"/>
    </xf>
    <xf numFmtId="0" fontId="46" fillId="0" borderId="117" xfId="0" applyFont="1" applyBorder="1" applyAlignment="1">
      <alignment horizontal="center" vertical="center" wrapText="1"/>
    </xf>
    <xf numFmtId="0" fontId="46" fillId="0" borderId="200" xfId="0" applyFont="1" applyBorder="1" applyAlignment="1">
      <alignment horizontal="left" vertical="center" wrapText="1"/>
    </xf>
    <xf numFmtId="0" fontId="46" fillId="0" borderId="199" xfId="0" applyFont="1" applyBorder="1" applyAlignment="1">
      <alignment horizontal="center" vertical="center" wrapText="1"/>
    </xf>
    <xf numFmtId="0" fontId="46" fillId="0" borderId="180" xfId="0" applyFont="1" applyBorder="1" applyAlignment="1">
      <alignment horizontal="left" vertical="center" wrapText="1"/>
    </xf>
    <xf numFmtId="0" fontId="46" fillId="0" borderId="187" xfId="0" applyFont="1" applyBorder="1" applyAlignment="1">
      <alignment horizontal="center" vertical="center" wrapText="1"/>
    </xf>
    <xf numFmtId="0" fontId="45" fillId="0" borderId="201" xfId="0" applyFont="1" applyBorder="1" applyAlignment="1">
      <alignment horizontal="center" vertical="center" wrapText="1"/>
    </xf>
    <xf numFmtId="0" fontId="44" fillId="0" borderId="198" xfId="0" applyFont="1" applyBorder="1" applyAlignment="1">
      <alignment horizontal="center" vertical="center" wrapText="1"/>
    </xf>
    <xf numFmtId="0" fontId="45" fillId="0" borderId="202" xfId="0" applyFont="1" applyBorder="1" applyAlignment="1">
      <alignment horizontal="center" vertical="center" wrapText="1"/>
    </xf>
    <xf numFmtId="0" fontId="46" fillId="0" borderId="202" xfId="0" applyFont="1" applyBorder="1" applyAlignment="1">
      <alignment horizontal="center" vertical="center" wrapText="1"/>
    </xf>
    <xf numFmtId="0" fontId="44" fillId="0" borderId="202" xfId="0" applyFont="1" applyBorder="1" applyAlignment="1">
      <alignment horizontal="center" vertical="center" wrapText="1"/>
    </xf>
    <xf numFmtId="0" fontId="46" fillId="5" borderId="49" xfId="0" applyFont="1" applyFill="1" applyBorder="1" applyAlignment="1">
      <alignment horizontal="center" vertical="center" wrapText="1"/>
    </xf>
    <xf numFmtId="0" fontId="42" fillId="0" borderId="61" xfId="0" applyFont="1" applyBorder="1" applyAlignment="1" applyProtection="1">
      <alignment horizontal="left" vertical="center" wrapText="1"/>
      <protection locked="0"/>
    </xf>
    <xf numFmtId="0" fontId="42" fillId="0" borderId="184" xfId="0" applyFont="1" applyBorder="1" applyAlignment="1">
      <alignment horizontal="left" vertical="center" wrapText="1"/>
    </xf>
    <xf numFmtId="0" fontId="0" fillId="0" borderId="0" xfId="0" applyAlignment="1">
      <alignment vertical="center" wrapText="1"/>
    </xf>
    <xf numFmtId="0" fontId="2" fillId="12" borderId="204" xfId="0" applyFont="1" applyFill="1" applyBorder="1" applyAlignment="1">
      <alignment horizontal="center" textRotation="90" wrapText="1"/>
    </xf>
    <xf numFmtId="0" fontId="43" fillId="12" borderId="204" xfId="0" applyFont="1" applyFill="1" applyBorder="1" applyAlignment="1">
      <alignment horizontal="center" vertical="center"/>
    </xf>
    <xf numFmtId="165" fontId="42" fillId="31" borderId="204" xfId="2" applyNumberFormat="1" applyFont="1" applyFill="1" applyBorder="1" applyAlignment="1">
      <alignment horizontal="center" vertical="center" wrapText="1"/>
    </xf>
    <xf numFmtId="165" fontId="42" fillId="0" borderId="204" xfId="2" applyNumberFormat="1" applyFont="1" applyFill="1" applyBorder="1" applyAlignment="1">
      <alignment horizontal="center" vertical="center" wrapText="1"/>
    </xf>
    <xf numFmtId="0" fontId="2" fillId="15" borderId="204" xfId="0" applyFont="1" applyFill="1" applyBorder="1" applyAlignment="1">
      <alignment horizontal="center" textRotation="90" wrapText="1"/>
    </xf>
    <xf numFmtId="1" fontId="42" fillId="31" borderId="204" xfId="0" applyNumberFormat="1" applyFont="1" applyFill="1" applyBorder="1" applyAlignment="1">
      <alignment horizontal="center" vertical="center" wrapText="1"/>
    </xf>
    <xf numFmtId="1" fontId="42" fillId="0" borderId="204" xfId="0" applyNumberFormat="1" applyFont="1" applyBorder="1" applyAlignment="1">
      <alignment horizontal="center" vertical="center" wrapText="1"/>
    </xf>
    <xf numFmtId="0" fontId="2" fillId="19" borderId="204" xfId="0" applyFont="1" applyFill="1" applyBorder="1" applyAlignment="1">
      <alignment horizontal="left" vertical="center" wrapText="1"/>
    </xf>
    <xf numFmtId="0" fontId="43" fillId="22" borderId="204" xfId="0" applyFont="1" applyFill="1" applyBorder="1" applyAlignment="1">
      <alignment horizontal="center" vertical="center" wrapText="1"/>
    </xf>
    <xf numFmtId="0" fontId="42" fillId="31" borderId="204" xfId="0" applyFont="1" applyFill="1" applyBorder="1" applyAlignment="1">
      <alignment horizontal="center" vertical="center"/>
    </xf>
    <xf numFmtId="0" fontId="42" fillId="0" borderId="204" xfId="0" applyFont="1" applyBorder="1" applyAlignment="1">
      <alignment horizontal="center" vertical="center"/>
    </xf>
    <xf numFmtId="0" fontId="22" fillId="0" borderId="188" xfId="5" applyFont="1" applyBorder="1" applyAlignment="1" applyProtection="1">
      <alignment vertical="center" wrapText="1"/>
      <protection locked="0"/>
    </xf>
    <xf numFmtId="0" fontId="16" fillId="0" borderId="184" xfId="5" applyFont="1" applyBorder="1" applyAlignment="1">
      <alignment horizontal="left" vertical="center" wrapText="1"/>
    </xf>
    <xf numFmtId="1" fontId="42" fillId="31" borderId="204" xfId="0" applyNumberFormat="1" applyFont="1" applyFill="1" applyBorder="1" applyAlignment="1">
      <alignment horizontal="center" vertical="center"/>
    </xf>
    <xf numFmtId="1" fontId="42" fillId="0" borderId="204" xfId="0" applyNumberFormat="1" applyFont="1" applyBorder="1" applyAlignment="1">
      <alignment horizontal="center" vertical="center"/>
    </xf>
    <xf numFmtId="49" fontId="42" fillId="31" borderId="42" xfId="2" applyNumberFormat="1" applyFont="1" applyFill="1" applyBorder="1" applyAlignment="1">
      <alignment horizontal="center" vertical="center" wrapText="1"/>
    </xf>
    <xf numFmtId="0" fontId="2" fillId="17" borderId="42" xfId="0" applyFont="1" applyFill="1" applyBorder="1" applyAlignment="1">
      <alignment horizontal="left" vertical="center"/>
    </xf>
    <xf numFmtId="0" fontId="35" fillId="2" borderId="188" xfId="3" applyFont="1" applyFill="1" applyBorder="1" applyAlignment="1" applyProtection="1">
      <alignment horizontal="center" vertical="center" wrapText="1"/>
      <protection locked="0"/>
    </xf>
    <xf numFmtId="0" fontId="35" fillId="2" borderId="189" xfId="3" applyFont="1" applyFill="1" applyBorder="1" applyAlignment="1" applyProtection="1">
      <alignment horizontal="center" vertical="center" wrapText="1"/>
      <protection locked="0"/>
    </xf>
    <xf numFmtId="0" fontId="35" fillId="2" borderId="187" xfId="3" applyFont="1" applyFill="1" applyBorder="1" applyAlignment="1" applyProtection="1">
      <alignment horizontal="center" vertical="center" wrapText="1"/>
      <protection locked="0"/>
    </xf>
    <xf numFmtId="1" fontId="35" fillId="2" borderId="184" xfId="5" applyNumberFormat="1" applyFont="1" applyFill="1" applyBorder="1" applyAlignment="1">
      <alignment horizontal="center" vertical="center" wrapText="1"/>
    </xf>
    <xf numFmtId="0" fontId="35" fillId="2" borderId="184" xfId="5" applyFont="1" applyFill="1" applyBorder="1" applyAlignment="1">
      <alignment horizontal="center" vertical="center" wrapText="1"/>
    </xf>
    <xf numFmtId="0" fontId="36" fillId="0" borderId="0" xfId="5" applyFont="1" applyAlignment="1" applyProtection="1">
      <alignment horizontal="left" vertical="center" wrapText="1"/>
      <protection locked="0"/>
    </xf>
    <xf numFmtId="0" fontId="36" fillId="0" borderId="0" xfId="5" applyFont="1" applyAlignment="1" applyProtection="1">
      <alignment horizontal="left" vertical="center"/>
      <protection locked="0"/>
    </xf>
    <xf numFmtId="0" fontId="21" fillId="25" borderId="188" xfId="3" applyFont="1" applyFill="1" applyBorder="1" applyAlignment="1" applyProtection="1">
      <alignment horizontal="center" vertical="center" wrapText="1"/>
      <protection locked="0"/>
    </xf>
    <xf numFmtId="0" fontId="21" fillId="25" borderId="189" xfId="3" applyFont="1" applyFill="1" applyBorder="1" applyAlignment="1" applyProtection="1">
      <alignment horizontal="center" vertical="center" wrapText="1"/>
      <protection locked="0"/>
    </xf>
    <xf numFmtId="0" fontId="21" fillId="25" borderId="187" xfId="3" applyFont="1" applyFill="1" applyBorder="1" applyAlignment="1" applyProtection="1">
      <alignment horizontal="center" vertical="center" wrapText="1"/>
      <protection locked="0"/>
    </xf>
    <xf numFmtId="1" fontId="21" fillId="25" borderId="184" xfId="5" applyNumberFormat="1" applyFont="1" applyFill="1" applyBorder="1" applyAlignment="1">
      <alignment horizontal="center" vertical="center" wrapText="1"/>
    </xf>
    <xf numFmtId="0" fontId="21" fillId="25" borderId="184" xfId="5" applyFont="1" applyFill="1" applyBorder="1" applyAlignment="1">
      <alignment horizontal="center" vertical="center" wrapText="1"/>
    </xf>
    <xf numFmtId="0" fontId="22" fillId="18" borderId="135" xfId="5" applyFont="1" applyFill="1" applyBorder="1" applyAlignment="1" applyProtection="1">
      <alignment horizontal="left" vertical="center" wrapText="1"/>
      <protection locked="0"/>
    </xf>
    <xf numFmtId="0" fontId="22" fillId="18" borderId="134" xfId="5" applyFont="1" applyFill="1" applyBorder="1" applyAlignment="1" applyProtection="1">
      <alignment horizontal="left" vertical="center" wrapText="1"/>
      <protection locked="0"/>
    </xf>
    <xf numFmtId="0" fontId="22" fillId="18" borderId="132" xfId="5" applyFont="1" applyFill="1" applyBorder="1" applyAlignment="1" applyProtection="1">
      <alignment horizontal="left" vertical="center" wrapText="1"/>
      <protection locked="0"/>
    </xf>
    <xf numFmtId="0" fontId="21" fillId="29" borderId="184" xfId="5" applyFont="1" applyFill="1" applyBorder="1" applyAlignment="1" applyProtection="1">
      <alignment horizontal="center" vertical="center" wrapText="1"/>
      <protection locked="0"/>
    </xf>
    <xf numFmtId="0" fontId="21" fillId="20" borderId="184" xfId="5" applyFont="1" applyFill="1" applyBorder="1" applyAlignment="1" applyProtection="1">
      <alignment horizontal="center" vertical="center" wrapText="1"/>
      <protection locked="0"/>
    </xf>
    <xf numFmtId="1" fontId="22" fillId="30" borderId="184" xfId="5" applyNumberFormat="1" applyFont="1" applyFill="1" applyBorder="1" applyAlignment="1" applyProtection="1">
      <alignment horizontal="center" vertical="center" wrapText="1"/>
      <protection locked="0"/>
    </xf>
    <xf numFmtId="0" fontId="22" fillId="0" borderId="115" xfId="5" applyFont="1" applyBorder="1" applyAlignment="1" applyProtection="1">
      <alignment horizontal="left" vertical="center" wrapText="1"/>
      <protection locked="0"/>
    </xf>
    <xf numFmtId="0" fontId="22" fillId="0" borderId="117" xfId="5" applyFont="1" applyBorder="1" applyAlignment="1" applyProtection="1">
      <alignment horizontal="left" vertical="center" wrapText="1"/>
      <protection locked="0"/>
    </xf>
    <xf numFmtId="0" fontId="22" fillId="0" borderId="166" xfId="5" applyFont="1" applyBorder="1" applyAlignment="1" applyProtection="1">
      <alignment horizontal="left" vertical="center" wrapText="1"/>
      <protection locked="0"/>
    </xf>
    <xf numFmtId="0" fontId="22" fillId="0" borderId="192" xfId="5" applyFont="1" applyBorder="1" applyAlignment="1" applyProtection="1">
      <alignment horizontal="left" vertical="center" wrapText="1"/>
      <protection locked="0"/>
    </xf>
    <xf numFmtId="0" fontId="22" fillId="0" borderId="135" xfId="5" applyFont="1" applyBorder="1" applyAlignment="1" applyProtection="1">
      <alignment horizontal="left" vertical="center" wrapText="1"/>
      <protection locked="0"/>
    </xf>
    <xf numFmtId="0" fontId="22" fillId="0" borderId="132" xfId="5" applyFont="1" applyBorder="1" applyAlignment="1" applyProtection="1">
      <alignment horizontal="left" vertical="center" wrapText="1"/>
      <protection locked="0"/>
    </xf>
    <xf numFmtId="1" fontId="22" fillId="30" borderId="188" xfId="5" applyNumberFormat="1" applyFont="1" applyFill="1" applyBorder="1" applyAlignment="1" applyProtection="1">
      <alignment horizontal="center" vertical="center" wrapText="1"/>
      <protection locked="0"/>
    </xf>
    <xf numFmtId="1" fontId="22" fillId="30" borderId="187" xfId="5" applyNumberFormat="1" applyFont="1" applyFill="1" applyBorder="1" applyAlignment="1" applyProtection="1">
      <alignment horizontal="center" vertical="center" wrapText="1"/>
      <protection locked="0"/>
    </xf>
    <xf numFmtId="0" fontId="22" fillId="30" borderId="188" xfId="5" applyFont="1" applyFill="1" applyBorder="1" applyAlignment="1" applyProtection="1">
      <alignment horizontal="center" vertical="center" wrapText="1"/>
      <protection locked="0"/>
    </xf>
    <xf numFmtId="0" fontId="22" fillId="30" borderId="187" xfId="5" applyFont="1" applyFill="1" applyBorder="1" applyAlignment="1" applyProtection="1">
      <alignment horizontal="center" vertical="center" wrapText="1"/>
      <protection locked="0"/>
    </xf>
    <xf numFmtId="0" fontId="21" fillId="25" borderId="166" xfId="5" applyFont="1" applyFill="1" applyBorder="1" applyAlignment="1" applyProtection="1">
      <alignment horizontal="center" vertical="center" wrapText="1"/>
      <protection locked="0"/>
    </xf>
    <xf numFmtId="0" fontId="21" fillId="25" borderId="0" xfId="5" applyFont="1" applyFill="1" applyAlignment="1" applyProtection="1">
      <alignment horizontal="center" vertical="center" wrapText="1"/>
      <protection locked="0"/>
    </xf>
    <xf numFmtId="0" fontId="21" fillId="25" borderId="135" xfId="5" applyFont="1" applyFill="1" applyBorder="1" applyAlignment="1" applyProtection="1">
      <alignment horizontal="center" vertical="center" wrapText="1"/>
      <protection locked="0"/>
    </xf>
    <xf numFmtId="0" fontId="21" fillId="25" borderId="134" xfId="5" applyFont="1" applyFill="1" applyBorder="1" applyAlignment="1" applyProtection="1">
      <alignment horizontal="center" vertical="center" wrapText="1"/>
      <protection locked="0"/>
    </xf>
    <xf numFmtId="0" fontId="21" fillId="25" borderId="190" xfId="5" applyFont="1" applyFill="1" applyBorder="1" applyAlignment="1">
      <alignment horizontal="center" vertical="center" wrapText="1"/>
    </xf>
    <xf numFmtId="0" fontId="21" fillId="25" borderId="191" xfId="5" applyFont="1" applyFill="1" applyBorder="1" applyAlignment="1">
      <alignment horizontal="center" vertical="center" wrapText="1"/>
    </xf>
    <xf numFmtId="0" fontId="21" fillId="25" borderId="40" xfId="5" applyFont="1" applyFill="1" applyBorder="1" applyAlignment="1">
      <alignment horizontal="center" vertical="center" wrapText="1"/>
    </xf>
    <xf numFmtId="0" fontId="21" fillId="25" borderId="95" xfId="5" applyFont="1" applyFill="1" applyBorder="1" applyAlignment="1">
      <alignment horizontal="center" vertical="center" wrapText="1"/>
    </xf>
    <xf numFmtId="0" fontId="22" fillId="30" borderId="39" xfId="5" applyFont="1" applyFill="1" applyBorder="1" applyAlignment="1" applyProtection="1">
      <alignment horizontal="left" vertical="center" wrapText="1"/>
      <protection locked="0"/>
    </xf>
    <xf numFmtId="0" fontId="22" fillId="18" borderId="188" xfId="5" applyFont="1" applyFill="1" applyBorder="1" applyAlignment="1" applyProtection="1">
      <alignment horizontal="left" vertical="center" wrapText="1"/>
      <protection locked="0"/>
    </xf>
    <xf numFmtId="0" fontId="22" fillId="18" borderId="189" xfId="5" applyFont="1" applyFill="1" applyBorder="1" applyAlignment="1" applyProtection="1">
      <alignment horizontal="left" vertical="center" wrapText="1"/>
      <protection locked="0"/>
    </xf>
    <xf numFmtId="0" fontId="22" fillId="0" borderId="39" xfId="5" applyFont="1" applyBorder="1" applyAlignment="1" applyProtection="1">
      <alignment vertical="center" wrapText="1"/>
      <protection locked="0"/>
    </xf>
    <xf numFmtId="0" fontId="22" fillId="0" borderId="99" xfId="5" applyFont="1" applyBorder="1" applyAlignment="1" applyProtection="1">
      <alignment vertical="center" wrapText="1"/>
      <protection locked="0"/>
    </xf>
    <xf numFmtId="0" fontId="22" fillId="30" borderId="38" xfId="5" applyFont="1" applyFill="1" applyBorder="1" applyAlignment="1" applyProtection="1">
      <alignment horizontal="left" vertical="center" wrapText="1"/>
      <protection locked="0"/>
    </xf>
    <xf numFmtId="0" fontId="22" fillId="18" borderId="162" xfId="5" applyFont="1" applyFill="1" applyBorder="1" applyAlignment="1" applyProtection="1">
      <alignment horizontal="left" vertical="center" wrapText="1"/>
      <protection locked="0"/>
    </xf>
    <xf numFmtId="0" fontId="22" fillId="18" borderId="163" xfId="5" applyFont="1" applyFill="1" applyBorder="1" applyAlignment="1" applyProtection="1">
      <alignment horizontal="left" vertical="center" wrapText="1"/>
      <protection locked="0"/>
    </xf>
    <xf numFmtId="0" fontId="22" fillId="18" borderId="41" xfId="5" applyFont="1" applyFill="1" applyBorder="1" applyAlignment="1" applyProtection="1">
      <alignment horizontal="left" vertical="center" wrapText="1"/>
      <protection locked="0"/>
    </xf>
    <xf numFmtId="0" fontId="22" fillId="18" borderId="95" xfId="5" applyFont="1" applyFill="1" applyBorder="1" applyAlignment="1" applyProtection="1">
      <alignment horizontal="left" vertical="center" wrapText="1"/>
      <protection locked="0"/>
    </xf>
    <xf numFmtId="0" fontId="22" fillId="0" borderId="40" xfId="5" applyFont="1" applyBorder="1" applyAlignment="1" applyProtection="1">
      <alignment horizontal="left" vertical="center" wrapText="1"/>
      <protection locked="0"/>
    </xf>
    <xf numFmtId="0" fontId="22" fillId="0" borderId="95" xfId="5" applyFont="1" applyBorder="1" applyAlignment="1" applyProtection="1">
      <alignment horizontal="left" vertical="center" wrapText="1"/>
      <protection locked="0"/>
    </xf>
    <xf numFmtId="0" fontId="22" fillId="18" borderId="94" xfId="5" applyFont="1" applyFill="1" applyBorder="1" applyAlignment="1" applyProtection="1">
      <alignment horizontal="left" vertical="center" wrapText="1"/>
      <protection locked="0"/>
    </xf>
    <xf numFmtId="0" fontId="22" fillId="0" borderId="38" xfId="5" applyFont="1" applyBorder="1" applyAlignment="1" applyProtection="1">
      <alignment vertical="center" wrapText="1"/>
      <protection locked="0"/>
    </xf>
    <xf numFmtId="0" fontId="22" fillId="0" borderId="96" xfId="5" applyFont="1" applyBorder="1" applyAlignment="1" applyProtection="1">
      <alignment vertical="center" wrapText="1"/>
      <protection locked="0"/>
    </xf>
    <xf numFmtId="0" fontId="26" fillId="19" borderId="94" xfId="5" applyFont="1" applyFill="1" applyBorder="1" applyAlignment="1" applyProtection="1">
      <alignment horizontal="left" vertical="center" wrapText="1"/>
      <protection locked="0"/>
    </xf>
    <xf numFmtId="0" fontId="26" fillId="19" borderId="41" xfId="5" applyFont="1" applyFill="1" applyBorder="1" applyAlignment="1" applyProtection="1">
      <alignment horizontal="left" vertical="center" wrapText="1"/>
      <protection locked="0"/>
    </xf>
    <xf numFmtId="0" fontId="26" fillId="19" borderId="95" xfId="5" applyFont="1" applyFill="1" applyBorder="1" applyAlignment="1" applyProtection="1">
      <alignment horizontal="left" vertical="center" wrapText="1"/>
      <protection locked="0"/>
    </xf>
    <xf numFmtId="9" fontId="22" fillId="30" borderId="38" xfId="5" applyNumberFormat="1" applyFont="1" applyFill="1" applyBorder="1" applyAlignment="1" applyProtection="1">
      <alignment horizontal="center" vertical="center" wrapText="1"/>
      <protection locked="0"/>
    </xf>
    <xf numFmtId="0" fontId="22" fillId="30" borderId="38" xfId="5" applyFont="1" applyFill="1" applyBorder="1" applyAlignment="1" applyProtection="1">
      <alignment horizontal="center" vertical="center" wrapText="1"/>
      <protection locked="0"/>
    </xf>
    <xf numFmtId="0" fontId="22" fillId="18" borderId="164" xfId="5" applyFont="1" applyFill="1" applyBorder="1" applyAlignment="1" applyProtection="1">
      <alignment horizontal="left" vertical="center" wrapText="1"/>
      <protection locked="0"/>
    </xf>
    <xf numFmtId="0" fontId="22" fillId="18" borderId="165" xfId="5" applyFont="1" applyFill="1" applyBorder="1" applyAlignment="1" applyProtection="1">
      <alignment horizontal="left" vertical="center" wrapText="1"/>
      <protection locked="0"/>
    </xf>
    <xf numFmtId="0" fontId="22" fillId="18" borderId="186" xfId="5" applyFont="1" applyFill="1" applyBorder="1" applyAlignment="1" applyProtection="1">
      <alignment horizontal="left" vertical="center" wrapText="1"/>
      <protection locked="0"/>
    </xf>
    <xf numFmtId="0" fontId="28" fillId="19" borderId="162" xfId="5" applyFont="1" applyFill="1" applyBorder="1" applyAlignment="1" applyProtection="1">
      <alignment horizontal="left" vertical="center" wrapText="1"/>
      <protection locked="0"/>
    </xf>
    <xf numFmtId="0" fontId="28" fillId="19" borderId="163" xfId="5" applyFont="1" applyFill="1" applyBorder="1" applyAlignment="1" applyProtection="1">
      <alignment horizontal="left" vertical="center" wrapText="1"/>
      <protection locked="0"/>
    </xf>
    <xf numFmtId="0" fontId="28" fillId="19" borderId="185" xfId="5" applyFont="1" applyFill="1" applyBorder="1" applyAlignment="1" applyProtection="1">
      <alignment horizontal="left" vertical="center" wrapText="1"/>
      <protection locked="0"/>
    </xf>
    <xf numFmtId="0" fontId="24" fillId="13" borderId="115" xfId="5" applyFont="1" applyFill="1" applyBorder="1" applyAlignment="1" applyProtection="1">
      <alignment horizontal="center" vertical="center" wrapText="1"/>
      <protection locked="0"/>
    </xf>
    <xf numFmtId="0" fontId="24" fillId="13" borderId="116" xfId="5" applyFont="1" applyFill="1" applyBorder="1" applyAlignment="1" applyProtection="1">
      <alignment horizontal="center" vertical="center" wrapText="1"/>
      <protection locked="0"/>
    </xf>
    <xf numFmtId="0" fontId="24" fillId="13" borderId="117" xfId="5" applyFont="1" applyFill="1" applyBorder="1" applyAlignment="1" applyProtection="1">
      <alignment horizontal="center" vertical="center" wrapText="1"/>
      <protection locked="0"/>
    </xf>
    <xf numFmtId="0" fontId="26" fillId="8" borderId="162" xfId="5" applyFont="1" applyFill="1" applyBorder="1" applyAlignment="1" applyProtection="1">
      <alignment horizontal="center" vertical="center" wrapText="1"/>
      <protection locked="0"/>
    </xf>
    <xf numFmtId="0" fontId="26" fillId="8" borderId="163" xfId="5" applyFont="1" applyFill="1" applyBorder="1" applyAlignment="1" applyProtection="1">
      <alignment horizontal="center" vertical="center" wrapText="1"/>
      <protection locked="0"/>
    </xf>
    <xf numFmtId="0" fontId="26" fillId="8" borderId="185" xfId="5" applyFont="1" applyFill="1" applyBorder="1" applyAlignment="1" applyProtection="1">
      <alignment horizontal="center" vertical="center" wrapText="1"/>
      <protection locked="0"/>
    </xf>
    <xf numFmtId="0" fontId="21" fillId="20" borderId="93" xfId="5" applyFont="1" applyFill="1" applyBorder="1" applyAlignment="1" applyProtection="1">
      <alignment horizontal="center" vertical="center" wrapText="1"/>
      <protection locked="0"/>
    </xf>
    <xf numFmtId="0" fontId="27" fillId="20" borderId="93" xfId="5" applyFont="1" applyFill="1" applyBorder="1" applyAlignment="1" applyProtection="1">
      <alignment horizontal="center" vertical="center" wrapText="1"/>
      <protection locked="0"/>
    </xf>
    <xf numFmtId="0" fontId="21" fillId="20" borderId="38" xfId="5" applyFont="1" applyFill="1" applyBorder="1" applyAlignment="1" applyProtection="1">
      <alignment horizontal="center" vertical="center" wrapText="1"/>
      <protection locked="0"/>
    </xf>
    <xf numFmtId="0" fontId="27" fillId="20" borderId="38" xfId="5" applyFont="1" applyFill="1" applyBorder="1" applyAlignment="1" applyProtection="1">
      <alignment horizontal="center" vertical="center" wrapText="1"/>
      <protection locked="0"/>
    </xf>
    <xf numFmtId="0" fontId="21" fillId="20" borderId="40" xfId="5" applyFont="1" applyFill="1" applyBorder="1" applyAlignment="1" applyProtection="1">
      <alignment horizontal="center" vertical="center" wrapText="1"/>
      <protection locked="0"/>
    </xf>
    <xf numFmtId="0" fontId="21" fillId="20" borderId="100" xfId="5" applyFont="1" applyFill="1" applyBorder="1" applyAlignment="1" applyProtection="1">
      <alignment horizontal="center" vertical="center" wrapText="1"/>
      <protection locked="0"/>
    </xf>
    <xf numFmtId="0" fontId="21" fillId="20" borderId="96" xfId="5" applyFont="1" applyFill="1" applyBorder="1" applyAlignment="1" applyProtection="1">
      <alignment horizontal="center" vertical="center" wrapText="1"/>
      <protection locked="0"/>
    </xf>
    <xf numFmtId="0" fontId="2" fillId="18" borderId="188" xfId="5" applyFont="1" applyFill="1" applyBorder="1" applyAlignment="1">
      <alignment horizontal="left" vertical="center" wrapText="1"/>
    </xf>
    <xf numFmtId="0" fontId="2" fillId="18" borderId="189" xfId="5" applyFont="1" applyFill="1" applyBorder="1" applyAlignment="1">
      <alignment horizontal="left" vertical="center" wrapText="1"/>
    </xf>
    <xf numFmtId="0" fontId="2" fillId="18" borderId="187" xfId="5" applyFont="1" applyFill="1" applyBorder="1" applyAlignment="1">
      <alignment horizontal="left" vertical="center" wrapText="1"/>
    </xf>
    <xf numFmtId="0" fontId="30" fillId="19" borderId="188" xfId="5" applyFont="1" applyFill="1" applyBorder="1" applyAlignment="1">
      <alignment horizontal="left" vertical="center" wrapText="1"/>
    </xf>
    <xf numFmtId="0" fontId="30" fillId="19" borderId="189" xfId="5" applyFont="1" applyFill="1" applyBorder="1" applyAlignment="1">
      <alignment horizontal="left" vertical="center" wrapText="1"/>
    </xf>
    <xf numFmtId="0" fontId="30" fillId="19" borderId="187" xfId="5" applyFont="1" applyFill="1" applyBorder="1" applyAlignment="1">
      <alignment horizontal="left" vertical="center" wrapText="1"/>
    </xf>
    <xf numFmtId="0" fontId="17" fillId="2" borderId="115" xfId="0" applyFont="1" applyFill="1" applyBorder="1" applyAlignment="1">
      <alignment horizontal="center" vertical="center" wrapText="1"/>
    </xf>
    <xf numFmtId="0" fontId="17" fillId="2" borderId="116" xfId="0" applyFont="1" applyFill="1" applyBorder="1" applyAlignment="1">
      <alignment horizontal="center" vertical="center" wrapText="1"/>
    </xf>
    <xf numFmtId="0" fontId="17" fillId="2" borderId="117" xfId="0" applyFont="1" applyFill="1" applyBorder="1" applyAlignment="1">
      <alignment horizontal="center" vertical="center" wrapText="1"/>
    </xf>
    <xf numFmtId="0" fontId="30" fillId="8" borderId="135" xfId="5" applyFont="1" applyFill="1" applyBorder="1" applyAlignment="1">
      <alignment horizontal="center" vertical="center" wrapText="1"/>
    </xf>
    <xf numFmtId="0" fontId="30" fillId="8" borderId="134" xfId="5" applyFont="1" applyFill="1" applyBorder="1" applyAlignment="1">
      <alignment horizontal="center" vertical="center" wrapText="1"/>
    </xf>
    <xf numFmtId="0" fontId="30" fillId="8" borderId="132" xfId="5" applyFont="1" applyFill="1" applyBorder="1" applyAlignment="1">
      <alignment horizontal="center" vertical="center" wrapText="1"/>
    </xf>
    <xf numFmtId="0" fontId="2" fillId="18" borderId="135" xfId="5" applyFont="1" applyFill="1" applyBorder="1" applyAlignment="1">
      <alignment horizontal="left" vertical="center" wrapText="1"/>
    </xf>
    <xf numFmtId="0" fontId="2" fillId="18" borderId="134" xfId="5" applyFont="1" applyFill="1" applyBorder="1" applyAlignment="1">
      <alignment horizontal="left" vertical="center" wrapText="1"/>
    </xf>
    <xf numFmtId="0" fontId="2" fillId="18" borderId="132" xfId="5" applyFont="1" applyFill="1" applyBorder="1" applyAlignment="1">
      <alignment horizontal="left" vertical="center" wrapText="1"/>
    </xf>
    <xf numFmtId="0" fontId="23" fillId="0" borderId="184" xfId="5" applyBorder="1" applyAlignment="1">
      <alignment horizontal="center" vertical="center" wrapText="1"/>
    </xf>
    <xf numFmtId="9" fontId="23" fillId="0" borderId="184" xfId="5" applyNumberFormat="1" applyBorder="1" applyAlignment="1">
      <alignment horizontal="center" vertical="center" wrapText="1"/>
    </xf>
    <xf numFmtId="1" fontId="23" fillId="0" borderId="184" xfId="5" applyNumberFormat="1" applyBorder="1" applyAlignment="1">
      <alignment horizontal="center" vertical="center" wrapText="1"/>
    </xf>
    <xf numFmtId="0" fontId="21" fillId="25" borderId="184" xfId="3" applyFont="1" applyFill="1" applyBorder="1" applyAlignment="1" applyProtection="1">
      <alignment horizontal="left" vertical="center" wrapText="1"/>
      <protection locked="0"/>
    </xf>
    <xf numFmtId="0" fontId="22" fillId="18" borderId="184" xfId="5" applyFont="1" applyFill="1" applyBorder="1" applyAlignment="1" applyProtection="1">
      <alignment horizontal="left" vertical="center" wrapText="1"/>
      <protection locked="0"/>
    </xf>
    <xf numFmtId="0" fontId="36" fillId="19" borderId="184" xfId="5" applyFont="1" applyFill="1" applyBorder="1" applyAlignment="1" applyProtection="1">
      <alignment horizontal="center" vertical="center" wrapText="1"/>
      <protection locked="0"/>
    </xf>
    <xf numFmtId="0" fontId="35" fillId="2" borderId="188" xfId="3" applyFont="1" applyFill="1" applyBorder="1" applyAlignment="1" applyProtection="1">
      <alignment horizontal="left" vertical="center" wrapText="1"/>
      <protection locked="0"/>
    </xf>
    <xf numFmtId="0" fontId="35" fillId="2" borderId="189" xfId="3" applyFont="1" applyFill="1" applyBorder="1" applyAlignment="1" applyProtection="1">
      <alignment horizontal="left" vertical="center" wrapText="1"/>
      <protection locked="0"/>
    </xf>
    <xf numFmtId="0" fontId="35" fillId="2" borderId="187" xfId="3" applyFont="1" applyFill="1" applyBorder="1" applyAlignment="1" applyProtection="1">
      <alignment horizontal="left" vertical="center" wrapText="1"/>
      <protection locked="0"/>
    </xf>
    <xf numFmtId="0" fontId="22" fillId="18" borderId="184" xfId="5" applyFont="1" applyFill="1" applyBorder="1" applyAlignment="1" applyProtection="1">
      <alignment vertical="center" wrapText="1"/>
      <protection locked="0"/>
    </xf>
    <xf numFmtId="0" fontId="22" fillId="0" borderId="184" xfId="5" applyFont="1" applyBorder="1" applyAlignment="1" applyProtection="1">
      <alignment horizontal="left" vertical="center" wrapText="1"/>
      <protection locked="0"/>
    </xf>
    <xf numFmtId="0" fontId="21" fillId="25" borderId="184" xfId="5" applyFont="1" applyFill="1" applyBorder="1" applyAlignment="1" applyProtection="1">
      <alignment horizontal="center" vertical="center" wrapText="1"/>
      <protection locked="0"/>
    </xf>
    <xf numFmtId="1" fontId="22" fillId="0" borderId="184" xfId="5" applyNumberFormat="1" applyFont="1" applyBorder="1" applyAlignment="1" applyProtection="1">
      <alignment horizontal="center" vertical="center" wrapText="1"/>
      <protection locked="0"/>
    </xf>
    <xf numFmtId="0" fontId="22" fillId="0" borderId="184" xfId="5" applyFont="1" applyBorder="1" applyAlignment="1" applyProtection="1">
      <alignment horizontal="center" vertical="center" wrapText="1"/>
      <protection locked="0"/>
    </xf>
    <xf numFmtId="0" fontId="21" fillId="25" borderId="188" xfId="3" applyFont="1" applyFill="1" applyBorder="1" applyAlignment="1" applyProtection="1">
      <alignment horizontal="left" vertical="center" wrapText="1"/>
      <protection locked="0"/>
    </xf>
    <xf numFmtId="0" fontId="21" fillId="25" borderId="189" xfId="3" applyFont="1" applyFill="1" applyBorder="1" applyAlignment="1" applyProtection="1">
      <alignment horizontal="left" vertical="center" wrapText="1"/>
      <protection locked="0"/>
    </xf>
    <xf numFmtId="0" fontId="21" fillId="25" borderId="187" xfId="3" applyFont="1" applyFill="1" applyBorder="1" applyAlignment="1" applyProtection="1">
      <alignment horizontal="left" vertical="center" wrapText="1"/>
      <protection locked="0"/>
    </xf>
    <xf numFmtId="9" fontId="22" fillId="0" borderId="188" xfId="5" applyNumberFormat="1" applyFont="1" applyBorder="1" applyAlignment="1" applyProtection="1">
      <alignment horizontal="left" vertical="center" wrapText="1"/>
      <protection locked="0"/>
    </xf>
    <xf numFmtId="0" fontId="22" fillId="0" borderId="187" xfId="5" applyFont="1" applyBorder="1" applyAlignment="1" applyProtection="1">
      <alignment horizontal="left" vertical="center" wrapText="1"/>
      <protection locked="0"/>
    </xf>
    <xf numFmtId="0" fontId="26" fillId="19" borderId="184" xfId="5" applyFont="1" applyFill="1" applyBorder="1" applyAlignment="1" applyProtection="1">
      <alignment vertical="center" wrapText="1"/>
      <protection locked="0"/>
    </xf>
    <xf numFmtId="9" fontId="22" fillId="0" borderId="184" xfId="5" applyNumberFormat="1" applyFont="1" applyBorder="1" applyAlignment="1" applyProtection="1">
      <alignment horizontal="left" vertical="center" wrapText="1"/>
      <protection locked="0"/>
    </xf>
    <xf numFmtId="0" fontId="22" fillId="0" borderId="188" xfId="5" applyFont="1" applyBorder="1" applyAlignment="1" applyProtection="1">
      <alignment horizontal="left" vertical="center" wrapText="1"/>
      <protection locked="0"/>
    </xf>
    <xf numFmtId="9" fontId="22" fillId="0" borderId="195" xfId="5" applyNumberFormat="1" applyFont="1" applyBorder="1" applyAlignment="1" applyProtection="1">
      <alignment horizontal="center" vertical="center" wrapText="1"/>
      <protection locked="0"/>
    </xf>
    <xf numFmtId="9" fontId="22" fillId="0" borderId="196" xfId="5" applyNumberFormat="1" applyFont="1" applyBorder="1" applyAlignment="1" applyProtection="1">
      <alignment horizontal="center" vertical="center" wrapText="1"/>
      <protection locked="0"/>
    </xf>
    <xf numFmtId="0" fontId="24" fillId="13" borderId="184" xfId="5" applyFont="1" applyFill="1" applyBorder="1" applyAlignment="1" applyProtection="1">
      <alignment horizontal="center" vertical="center" wrapText="1"/>
      <protection locked="0"/>
    </xf>
    <xf numFmtId="0" fontId="26" fillId="8" borderId="184" xfId="5" applyFont="1" applyFill="1" applyBorder="1" applyAlignment="1" applyProtection="1">
      <alignment horizontal="center" vertical="center" wrapText="1"/>
      <protection locked="0"/>
    </xf>
    <xf numFmtId="0" fontId="27" fillId="20" borderId="184" xfId="5" applyFont="1" applyFill="1" applyBorder="1" applyAlignment="1" applyProtection="1">
      <alignment horizontal="center" vertical="center" wrapText="1"/>
      <protection locked="0"/>
    </xf>
    <xf numFmtId="0" fontId="28" fillId="19" borderId="184" xfId="5" applyFont="1" applyFill="1" applyBorder="1" applyAlignment="1" applyProtection="1">
      <alignment horizontal="left" vertical="center" wrapText="1"/>
      <protection locked="0"/>
    </xf>
    <xf numFmtId="9" fontId="22" fillId="0" borderId="190" xfId="5" applyNumberFormat="1" applyFont="1" applyBorder="1" applyAlignment="1" applyProtection="1">
      <alignment horizontal="center" vertical="center" wrapText="1"/>
      <protection locked="0"/>
    </xf>
    <xf numFmtId="9" fontId="22" fillId="0" borderId="194" xfId="5" applyNumberFormat="1" applyFont="1" applyBorder="1" applyAlignment="1" applyProtection="1">
      <alignment horizontal="center" vertical="center" wrapText="1"/>
      <protection locked="0"/>
    </xf>
    <xf numFmtId="9" fontId="22" fillId="0" borderId="167" xfId="5" applyNumberFormat="1" applyFont="1" applyBorder="1" applyAlignment="1" applyProtection="1">
      <alignment horizontal="center" vertical="center" wrapText="1"/>
      <protection locked="0"/>
    </xf>
    <xf numFmtId="9" fontId="22" fillId="0" borderId="168" xfId="5" applyNumberFormat="1" applyFont="1" applyBorder="1" applyAlignment="1" applyProtection="1">
      <alignment horizontal="center" vertical="center" wrapText="1"/>
      <protection locked="0"/>
    </xf>
    <xf numFmtId="0" fontId="22" fillId="18" borderId="16" xfId="3" applyFont="1" applyFill="1" applyBorder="1" applyAlignment="1">
      <alignment horizontal="left" vertical="center"/>
    </xf>
    <xf numFmtId="0" fontId="22" fillId="18" borderId="17" xfId="3" applyFont="1" applyFill="1" applyBorder="1" applyAlignment="1">
      <alignment horizontal="left" vertical="center"/>
    </xf>
    <xf numFmtId="0" fontId="22" fillId="18" borderId="18" xfId="3" applyFont="1" applyFill="1" applyBorder="1" applyAlignment="1">
      <alignment horizontal="left" vertical="center"/>
    </xf>
    <xf numFmtId="0" fontId="10" fillId="0" borderId="20" xfId="3" applyFont="1" applyBorder="1" applyAlignment="1">
      <alignment horizontal="left" vertical="center" wrapText="1"/>
    </xf>
    <xf numFmtId="0" fontId="10" fillId="0" borderId="21" xfId="3" applyFont="1" applyBorder="1" applyAlignment="1">
      <alignment horizontal="left" vertical="center" wrapText="1"/>
    </xf>
    <xf numFmtId="0" fontId="10" fillId="0" borderId="22" xfId="3" applyFont="1" applyBorder="1" applyAlignment="1">
      <alignment horizontal="left" vertical="center" wrapText="1"/>
    </xf>
    <xf numFmtId="0" fontId="10" fillId="22" borderId="20" xfId="3" applyFont="1" applyFill="1" applyBorder="1" applyAlignment="1">
      <alignment horizontal="left" vertical="center" wrapText="1"/>
    </xf>
    <xf numFmtId="0" fontId="10" fillId="22" borderId="21" xfId="3" applyFont="1" applyFill="1" applyBorder="1" applyAlignment="1">
      <alignment horizontal="left" vertical="center" wrapText="1"/>
    </xf>
    <xf numFmtId="9" fontId="10" fillId="22" borderId="14" xfId="4" applyFont="1" applyFill="1" applyBorder="1" applyAlignment="1" applyProtection="1">
      <alignment horizontal="center" vertical="center"/>
    </xf>
    <xf numFmtId="9" fontId="10" fillId="22" borderId="15" xfId="4" applyFont="1" applyFill="1" applyBorder="1" applyAlignment="1" applyProtection="1">
      <alignment horizontal="center" vertical="center"/>
    </xf>
    <xf numFmtId="0" fontId="41" fillId="24" borderId="20" xfId="3" applyFont="1" applyFill="1" applyBorder="1" applyAlignment="1">
      <alignment horizontal="center" vertical="center" wrapText="1"/>
    </xf>
    <xf numFmtId="0" fontId="41" fillId="24" borderId="21" xfId="3" applyFont="1" applyFill="1" applyBorder="1" applyAlignment="1">
      <alignment horizontal="center" vertical="center" wrapText="1"/>
    </xf>
    <xf numFmtId="0" fontId="41" fillId="24" borderId="36" xfId="3" applyFont="1" applyFill="1" applyBorder="1" applyAlignment="1">
      <alignment horizontal="center" vertical="center" wrapText="1"/>
    </xf>
    <xf numFmtId="0" fontId="10" fillId="22" borderId="36" xfId="3" applyFont="1" applyFill="1" applyBorder="1" applyAlignment="1">
      <alignment horizontal="left" vertical="center" wrapText="1"/>
    </xf>
    <xf numFmtId="9" fontId="10" fillId="22" borderId="30" xfId="4" applyFont="1" applyFill="1" applyBorder="1" applyAlignment="1" applyProtection="1">
      <alignment horizontal="center" vertical="center"/>
    </xf>
    <xf numFmtId="9" fontId="10" fillId="22" borderId="34" xfId="4" applyFont="1" applyFill="1" applyBorder="1" applyAlignment="1" applyProtection="1">
      <alignment horizontal="center" vertical="center"/>
    </xf>
    <xf numFmtId="0" fontId="31" fillId="0" borderId="20" xfId="3" applyFont="1" applyBorder="1" applyAlignment="1">
      <alignment horizontal="left" vertical="center" wrapText="1"/>
    </xf>
    <xf numFmtId="0" fontId="31" fillId="0" borderId="21" xfId="3" applyFont="1" applyBorder="1" applyAlignment="1">
      <alignment horizontal="left" vertical="center" wrapText="1"/>
    </xf>
    <xf numFmtId="0" fontId="31" fillId="0" borderId="119" xfId="3" applyFont="1" applyBorder="1" applyAlignment="1">
      <alignment horizontal="left" vertical="center" wrapText="1"/>
    </xf>
    <xf numFmtId="0" fontId="21" fillId="2" borderId="16" xfId="3" applyFont="1" applyFill="1" applyBorder="1" applyAlignment="1">
      <alignment horizontal="left" vertical="center"/>
    </xf>
    <xf numFmtId="0" fontId="21" fillId="2" borderId="17" xfId="3" applyFont="1" applyFill="1" applyBorder="1" applyAlignment="1">
      <alignment horizontal="left" vertical="center"/>
    </xf>
    <xf numFmtId="0" fontId="21" fillId="2" borderId="18" xfId="3" applyFont="1" applyFill="1" applyBorder="1" applyAlignment="1">
      <alignment horizontal="left" vertical="center"/>
    </xf>
    <xf numFmtId="0" fontId="10" fillId="23" borderId="75" xfId="3" applyFont="1" applyFill="1" applyBorder="1" applyAlignment="1">
      <alignment horizontal="left" vertical="center" wrapText="1"/>
    </xf>
    <xf numFmtId="0" fontId="10" fillId="23" borderId="76" xfId="3" applyFont="1" applyFill="1" applyBorder="1" applyAlignment="1">
      <alignment horizontal="left" vertical="center" wrapText="1"/>
    </xf>
    <xf numFmtId="0" fontId="10" fillId="23" borderId="77" xfId="3" applyFont="1" applyFill="1" applyBorder="1" applyAlignment="1">
      <alignment horizontal="left" vertical="center" wrapText="1"/>
    </xf>
    <xf numFmtId="0" fontId="31" fillId="23" borderId="20" xfId="3" applyFont="1" applyFill="1" applyBorder="1" applyAlignment="1">
      <alignment horizontal="left" vertical="center" wrapText="1"/>
    </xf>
    <xf numFmtId="0" fontId="31" fillId="23" borderId="21" xfId="3" applyFont="1" applyFill="1" applyBorder="1" applyAlignment="1">
      <alignment horizontal="left" vertical="center" wrapText="1"/>
    </xf>
    <xf numFmtId="0" fontId="31" fillId="23" borderId="36" xfId="3" applyFont="1" applyFill="1" applyBorder="1" applyAlignment="1">
      <alignment horizontal="left" vertical="center" wrapText="1"/>
    </xf>
    <xf numFmtId="0" fontId="22" fillId="24" borderId="138" xfId="3" applyFont="1" applyFill="1" applyBorder="1" applyAlignment="1">
      <alignment horizontal="left" vertical="center" wrapText="1"/>
    </xf>
    <xf numFmtId="0" fontId="22" fillId="24" borderId="139" xfId="3" applyFont="1" applyFill="1" applyBorder="1" applyAlignment="1">
      <alignment horizontal="left" vertical="center" wrapText="1"/>
    </xf>
    <xf numFmtId="0" fontId="22" fillId="24" borderId="140" xfId="3" applyFont="1" applyFill="1" applyBorder="1" applyAlignment="1">
      <alignment horizontal="left" vertical="center" wrapText="1"/>
    </xf>
    <xf numFmtId="0" fontId="31" fillId="18" borderId="16" xfId="3" applyFont="1" applyFill="1" applyBorder="1" applyAlignment="1">
      <alignment horizontal="left" vertical="center" wrapText="1"/>
    </xf>
    <xf numFmtId="0" fontId="31" fillId="18" borderId="17" xfId="3" applyFont="1" applyFill="1" applyBorder="1" applyAlignment="1">
      <alignment horizontal="left" vertical="center" wrapText="1"/>
    </xf>
    <xf numFmtId="0" fontId="31" fillId="18" borderId="0" xfId="3" applyFont="1" applyFill="1" applyAlignment="1">
      <alignment horizontal="left" vertical="center" wrapText="1"/>
    </xf>
    <xf numFmtId="0" fontId="31" fillId="18" borderId="18" xfId="3" applyFont="1" applyFill="1" applyBorder="1" applyAlignment="1">
      <alignment horizontal="left" vertical="center" wrapText="1"/>
    </xf>
    <xf numFmtId="0" fontId="31" fillId="0" borderId="22" xfId="3" applyFont="1" applyBorder="1" applyAlignment="1">
      <alignment horizontal="left" vertical="center" wrapText="1"/>
    </xf>
    <xf numFmtId="0" fontId="31" fillId="22" borderId="108" xfId="3" applyFont="1" applyFill="1" applyBorder="1" applyAlignment="1">
      <alignment horizontal="left" vertical="center" wrapText="1"/>
    </xf>
    <xf numFmtId="0" fontId="31" fillId="22" borderId="109" xfId="3" applyFont="1" applyFill="1" applyBorder="1" applyAlignment="1">
      <alignment horizontal="left" vertical="center" wrapText="1"/>
    </xf>
    <xf numFmtId="9" fontId="31" fillId="22" borderId="0" xfId="4" applyFont="1" applyFill="1" applyAlignment="1" applyProtection="1">
      <alignment horizontal="center" vertical="center" wrapText="1"/>
    </xf>
    <xf numFmtId="9" fontId="31" fillId="22" borderId="111" xfId="4" applyFont="1" applyFill="1" applyBorder="1" applyAlignment="1" applyProtection="1">
      <alignment horizontal="center" vertical="center" wrapText="1"/>
    </xf>
    <xf numFmtId="0" fontId="31" fillId="18" borderId="62" xfId="3" applyFont="1" applyFill="1" applyBorder="1" applyAlignment="1">
      <alignment horizontal="left" vertical="center" wrapText="1"/>
    </xf>
    <xf numFmtId="0" fontId="10" fillId="18" borderId="71" xfId="3" applyFont="1" applyFill="1" applyBorder="1" applyAlignment="1">
      <alignment horizontal="left" vertical="center"/>
    </xf>
    <xf numFmtId="0" fontId="10" fillId="18" borderId="72" xfId="3" applyFont="1" applyFill="1" applyBorder="1" applyAlignment="1">
      <alignment horizontal="left" vertical="center"/>
    </xf>
    <xf numFmtId="0" fontId="10" fillId="18" borderId="73" xfId="3" applyFont="1" applyFill="1" applyBorder="1" applyAlignment="1">
      <alignment horizontal="left" vertical="center"/>
    </xf>
    <xf numFmtId="0" fontId="28" fillId="19" borderId="92" xfId="3" applyFont="1" applyFill="1" applyBorder="1" applyAlignment="1">
      <alignment horizontal="left" vertical="center" wrapText="1"/>
    </xf>
    <xf numFmtId="0" fontId="28" fillId="19" borderId="3" xfId="3" applyFont="1" applyFill="1" applyBorder="1" applyAlignment="1">
      <alignment horizontal="left" vertical="center" wrapText="1"/>
    </xf>
    <xf numFmtId="0" fontId="28" fillId="19" borderId="91" xfId="3" applyFont="1" applyFill="1" applyBorder="1" applyAlignment="1">
      <alignment horizontal="left" vertical="center" wrapText="1"/>
    </xf>
    <xf numFmtId="0" fontId="10" fillId="0" borderId="118" xfId="3" applyFont="1" applyBorder="1" applyAlignment="1">
      <alignment horizontal="left" vertical="center" wrapText="1"/>
    </xf>
    <xf numFmtId="0" fontId="10" fillId="0" borderId="119" xfId="3" applyFont="1" applyBorder="1" applyAlignment="1">
      <alignment horizontal="left" vertical="center" wrapText="1"/>
    </xf>
    <xf numFmtId="0" fontId="10" fillId="0" borderId="120" xfId="3" applyFont="1" applyBorder="1" applyAlignment="1">
      <alignment horizontal="left" vertical="center" wrapText="1"/>
    </xf>
    <xf numFmtId="0" fontId="28" fillId="19" borderId="62" xfId="3" applyFont="1" applyFill="1" applyBorder="1" applyAlignment="1">
      <alignment horizontal="left" vertical="center" wrapText="1"/>
    </xf>
    <xf numFmtId="0" fontId="28" fillId="19" borderId="0" xfId="3" applyFont="1" applyFill="1" applyAlignment="1">
      <alignment horizontal="left" vertical="center" wrapText="1"/>
    </xf>
    <xf numFmtId="0" fontId="28" fillId="19" borderId="31" xfId="3" applyFont="1" applyFill="1" applyBorder="1" applyAlignment="1">
      <alignment horizontal="left" vertical="center" wrapText="1"/>
    </xf>
    <xf numFmtId="0" fontId="10" fillId="0" borderId="67" xfId="3" applyFont="1" applyBorder="1" applyAlignment="1">
      <alignment horizontal="left" vertical="center" wrapText="1"/>
    </xf>
    <xf numFmtId="0" fontId="10" fillId="0" borderId="68" xfId="3" applyFont="1" applyBorder="1" applyAlignment="1">
      <alignment horizontal="left" vertical="center" wrapText="1"/>
    </xf>
    <xf numFmtId="0" fontId="10" fillId="0" borderId="69" xfId="3" applyFont="1" applyBorder="1" applyAlignment="1">
      <alignment horizontal="left" vertical="center" wrapText="1"/>
    </xf>
    <xf numFmtId="0" fontId="10" fillId="0" borderId="121" xfId="3" applyFont="1" applyBorder="1" applyAlignment="1">
      <alignment horizontal="left" vertical="center" wrapText="1"/>
    </xf>
    <xf numFmtId="0" fontId="10" fillId="0" borderId="122" xfId="3" applyFont="1" applyBorder="1" applyAlignment="1">
      <alignment horizontal="left" vertical="center" wrapText="1"/>
    </xf>
    <xf numFmtId="0" fontId="10" fillId="0" borderId="123" xfId="3" applyFont="1" applyBorder="1" applyAlignment="1">
      <alignment horizontal="left" vertical="center" wrapText="1"/>
    </xf>
    <xf numFmtId="0" fontId="28" fillId="19" borderId="75" xfId="3" applyFont="1" applyFill="1" applyBorder="1" applyAlignment="1">
      <alignment horizontal="left" vertical="center" wrapText="1"/>
    </xf>
    <xf numFmtId="0" fontId="28" fillId="19" borderId="76" xfId="3" applyFont="1" applyFill="1" applyBorder="1" applyAlignment="1">
      <alignment horizontal="left" vertical="center" wrapText="1"/>
    </xf>
    <xf numFmtId="0" fontId="28" fillId="19" borderId="77" xfId="3" applyFont="1" applyFill="1" applyBorder="1" applyAlignment="1">
      <alignment horizontal="left" vertical="center" wrapText="1"/>
    </xf>
    <xf numFmtId="0" fontId="10" fillId="0" borderId="79" xfId="3" applyFont="1" applyBorder="1" applyAlignment="1">
      <alignment horizontal="left" vertical="center" wrapText="1"/>
    </xf>
    <xf numFmtId="0" fontId="10" fillId="0" borderId="80" xfId="3" applyFont="1" applyBorder="1" applyAlignment="1">
      <alignment horizontal="left" vertical="center" wrapText="1"/>
    </xf>
    <xf numFmtId="0" fontId="10" fillId="0" borderId="81" xfId="3" applyFont="1" applyBorder="1" applyAlignment="1">
      <alignment horizontal="left" vertical="center" wrapText="1"/>
    </xf>
    <xf numFmtId="0" fontId="28" fillId="19" borderId="8" xfId="3" applyFont="1" applyFill="1" applyBorder="1" applyAlignment="1">
      <alignment horizontal="left" vertical="center" wrapText="1"/>
    </xf>
    <xf numFmtId="0" fontId="28" fillId="19" borderId="19" xfId="3" applyFont="1" applyFill="1" applyBorder="1" applyAlignment="1">
      <alignment horizontal="left" vertical="center" wrapText="1"/>
    </xf>
    <xf numFmtId="0" fontId="22" fillId="0" borderId="20" xfId="3" applyFont="1" applyBorder="1" applyAlignment="1">
      <alignment horizontal="left" vertical="center" wrapText="1"/>
    </xf>
    <xf numFmtId="0" fontId="22" fillId="0" borderId="21" xfId="3" applyFont="1" applyBorder="1" applyAlignment="1">
      <alignment horizontal="left" vertical="center" wrapText="1"/>
    </xf>
    <xf numFmtId="0" fontId="22" fillId="0" borderId="22" xfId="3" applyFont="1" applyBorder="1" applyAlignment="1">
      <alignment horizontal="left" vertical="center" wrapText="1"/>
    </xf>
    <xf numFmtId="0" fontId="38" fillId="27" borderId="125" xfId="0" applyFont="1" applyFill="1" applyBorder="1" applyAlignment="1">
      <alignment horizontal="center"/>
    </xf>
    <xf numFmtId="0" fontId="38" fillId="27" borderId="128" xfId="0" applyFont="1" applyFill="1" applyBorder="1" applyAlignment="1">
      <alignment horizontal="center"/>
    </xf>
    <xf numFmtId="0" fontId="38" fillId="27" borderId="126" xfId="0" applyFont="1" applyFill="1" applyBorder="1" applyAlignment="1">
      <alignment horizontal="center"/>
    </xf>
    <xf numFmtId="0" fontId="21" fillId="20" borderId="115" xfId="3" applyFont="1" applyFill="1" applyBorder="1" applyAlignment="1">
      <alignment horizontal="left" vertical="center" wrapText="1"/>
    </xf>
    <xf numFmtId="0" fontId="21" fillId="20" borderId="116" xfId="3" applyFont="1" applyFill="1" applyBorder="1" applyAlignment="1">
      <alignment horizontal="left" vertical="center" wrapText="1"/>
    </xf>
    <xf numFmtId="0" fontId="21" fillId="20" borderId="117" xfId="3" applyFont="1" applyFill="1" applyBorder="1" applyAlignment="1">
      <alignment horizontal="left" vertical="center" wrapText="1"/>
    </xf>
    <xf numFmtId="0" fontId="21" fillId="20" borderId="130" xfId="3" applyFont="1" applyFill="1" applyBorder="1" applyAlignment="1">
      <alignment horizontal="left" vertical="center" wrapText="1"/>
    </xf>
    <xf numFmtId="0" fontId="21" fillId="20" borderId="0" xfId="3" applyFont="1" applyFill="1" applyAlignment="1">
      <alignment horizontal="left" vertical="center" wrapText="1"/>
    </xf>
    <xf numFmtId="0" fontId="21" fillId="20" borderId="112" xfId="3" applyFont="1" applyFill="1" applyBorder="1" applyAlignment="1">
      <alignment horizontal="left" vertical="center" wrapText="1"/>
    </xf>
    <xf numFmtId="0" fontId="21" fillId="20" borderId="102" xfId="3" applyFont="1" applyFill="1" applyBorder="1" applyAlignment="1">
      <alignment horizontal="left" vertical="center" wrapText="1"/>
    </xf>
    <xf numFmtId="0" fontId="21" fillId="20" borderId="131" xfId="3" applyFont="1" applyFill="1" applyBorder="1" applyAlignment="1">
      <alignment horizontal="left" vertical="center" wrapText="1"/>
    </xf>
    <xf numFmtId="0" fontId="21" fillId="20" borderId="132" xfId="3" applyFont="1" applyFill="1" applyBorder="1" applyAlignment="1">
      <alignment horizontal="left" vertical="center" wrapText="1"/>
    </xf>
    <xf numFmtId="0" fontId="21" fillId="20" borderId="74" xfId="3" applyFont="1" applyFill="1" applyBorder="1" applyAlignment="1">
      <alignment horizontal="center" vertical="center" wrapText="1"/>
    </xf>
    <xf numFmtId="14" fontId="2" fillId="0" borderId="125" xfId="0" applyNumberFormat="1" applyFont="1" applyBorder="1" applyAlignment="1">
      <alignment horizontal="left" vertical="center" indent="1"/>
    </xf>
    <xf numFmtId="14" fontId="2" fillId="0" borderId="126" xfId="0" applyNumberFormat="1" applyFont="1" applyBorder="1" applyAlignment="1">
      <alignment horizontal="left" vertical="center" indent="1"/>
    </xf>
    <xf numFmtId="49" fontId="2" fillId="0" borderId="125" xfId="0" applyNumberFormat="1" applyFont="1" applyBorder="1" applyAlignment="1">
      <alignment horizontal="left" vertical="center" indent="1"/>
    </xf>
    <xf numFmtId="49" fontId="2" fillId="0" borderId="126" xfId="0" applyNumberFormat="1" applyFont="1" applyBorder="1" applyAlignment="1">
      <alignment horizontal="left" vertical="center" indent="1"/>
    </xf>
    <xf numFmtId="9" fontId="37" fillId="0" borderId="171" xfId="4" applyFont="1" applyBorder="1" applyAlignment="1" applyProtection="1">
      <alignment horizontal="center" vertical="center" wrapText="1"/>
    </xf>
    <xf numFmtId="9" fontId="37" fillId="0" borderId="172" xfId="4" applyFont="1" applyBorder="1" applyAlignment="1" applyProtection="1">
      <alignment horizontal="center" vertical="center" wrapText="1"/>
    </xf>
    <xf numFmtId="9" fontId="37" fillId="0" borderId="173" xfId="4" applyFont="1" applyBorder="1" applyAlignment="1" applyProtection="1">
      <alignment horizontal="center" vertical="center" wrapText="1"/>
    </xf>
    <xf numFmtId="0" fontId="31" fillId="0" borderId="169" xfId="3" applyFont="1" applyBorder="1" applyAlignment="1">
      <alignment horizontal="left" vertical="center" wrapText="1"/>
    </xf>
    <xf numFmtId="0" fontId="31" fillId="0" borderId="170" xfId="3" applyFont="1" applyBorder="1" applyAlignment="1">
      <alignment horizontal="left" vertical="center" wrapText="1"/>
    </xf>
    <xf numFmtId="0" fontId="31" fillId="0" borderId="174" xfId="3" applyFont="1" applyBorder="1" applyAlignment="1">
      <alignment horizontal="left" vertical="center" wrapText="1"/>
    </xf>
    <xf numFmtId="9" fontId="18" fillId="26" borderId="104" xfId="4" applyFont="1" applyFill="1" applyBorder="1" applyAlignment="1" applyProtection="1">
      <alignment horizontal="right" vertical="center" wrapText="1"/>
    </xf>
    <xf numFmtId="9" fontId="18" fillId="26" borderId="105" xfId="4" applyFont="1" applyFill="1" applyBorder="1" applyAlignment="1" applyProtection="1">
      <alignment horizontal="right" vertical="center" wrapText="1"/>
    </xf>
    <xf numFmtId="9" fontId="18" fillId="26" borderId="106" xfId="4" applyFont="1" applyFill="1" applyBorder="1" applyAlignment="1" applyProtection="1">
      <alignment horizontal="right" vertical="center" wrapText="1"/>
    </xf>
    <xf numFmtId="9" fontId="31" fillId="23" borderId="14" xfId="4" applyFont="1" applyFill="1" applyBorder="1" applyAlignment="1" applyProtection="1">
      <alignment horizontal="center" vertical="center" wrapText="1"/>
    </xf>
    <xf numFmtId="9" fontId="31" fillId="23" borderId="15" xfId="4" applyFont="1" applyFill="1" applyBorder="1" applyAlignment="1" applyProtection="1">
      <alignment horizontal="center" vertical="center" wrapText="1"/>
    </xf>
    <xf numFmtId="0" fontId="31" fillId="22" borderId="79" xfId="3" applyFont="1" applyFill="1" applyBorder="1" applyAlignment="1">
      <alignment horizontal="left" vertical="center" wrapText="1"/>
    </xf>
    <xf numFmtId="0" fontId="31" fillId="22" borderId="80" xfId="3" applyFont="1" applyFill="1" applyBorder="1" applyAlignment="1">
      <alignment horizontal="left" vertical="center" wrapText="1"/>
    </xf>
    <xf numFmtId="9" fontId="31" fillId="22" borderId="80" xfId="4" applyFont="1" applyFill="1" applyBorder="1" applyAlignment="1" applyProtection="1">
      <alignment horizontal="center" vertical="center" wrapText="1"/>
    </xf>
    <xf numFmtId="9" fontId="31" fillId="22" borderId="81" xfId="4" applyFont="1" applyFill="1" applyBorder="1" applyAlignment="1" applyProtection="1">
      <alignment horizontal="center" vertical="center" wrapText="1"/>
    </xf>
    <xf numFmtId="0" fontId="31" fillId="0" borderId="78" xfId="3" applyFont="1" applyBorder="1" applyAlignment="1">
      <alignment horizontal="left" vertical="center" wrapText="1"/>
    </xf>
    <xf numFmtId="0" fontId="32" fillId="19" borderId="78" xfId="3" applyFont="1" applyFill="1" applyBorder="1" applyAlignment="1">
      <alignment horizontal="left" vertical="center" wrapText="1"/>
    </xf>
    <xf numFmtId="0" fontId="31" fillId="0" borderId="125" xfId="3" applyFont="1" applyBorder="1" applyAlignment="1">
      <alignment horizontal="left" vertical="center" wrapText="1"/>
    </xf>
    <xf numFmtId="0" fontId="31" fillId="0" borderId="128" xfId="3" applyFont="1" applyBorder="1" applyAlignment="1">
      <alignment horizontal="left" vertical="center" wrapText="1"/>
    </xf>
    <xf numFmtId="0" fontId="31" fillId="0" borderId="126" xfId="3" applyFont="1" applyBorder="1" applyAlignment="1">
      <alignment horizontal="left" vertical="center" wrapText="1"/>
    </xf>
    <xf numFmtId="0" fontId="17" fillId="20" borderId="74" xfId="3" applyFont="1" applyFill="1" applyBorder="1" applyAlignment="1">
      <alignment horizontal="left" vertical="center" wrapText="1"/>
    </xf>
    <xf numFmtId="0" fontId="17" fillId="20" borderId="74" xfId="3" applyFont="1" applyFill="1" applyBorder="1" applyAlignment="1">
      <alignment horizontal="center" vertical="center" wrapText="1"/>
    </xf>
    <xf numFmtId="0" fontId="2" fillId="0" borderId="124" xfId="0" applyFont="1" applyBorder="1" applyAlignment="1">
      <alignment horizontal="left" indent="1"/>
    </xf>
    <xf numFmtId="0" fontId="31" fillId="18" borderId="75" xfId="3" applyFont="1" applyFill="1" applyBorder="1" applyAlignment="1">
      <alignment horizontal="left" vertical="center" wrapText="1"/>
    </xf>
    <xf numFmtId="0" fontId="31" fillId="18" borderId="76" xfId="3" applyFont="1" applyFill="1" applyBorder="1" applyAlignment="1">
      <alignment horizontal="left" vertical="center" wrapText="1"/>
    </xf>
    <xf numFmtId="0" fontId="31" fillId="18" borderId="77" xfId="3" applyFont="1" applyFill="1" applyBorder="1" applyAlignment="1">
      <alignment horizontal="left" vertical="center" wrapText="1"/>
    </xf>
    <xf numFmtId="0" fontId="31" fillId="24" borderId="78" xfId="3" applyFont="1" applyFill="1" applyBorder="1" applyAlignment="1">
      <alignment horizontal="left" vertical="center" wrapText="1"/>
    </xf>
    <xf numFmtId="0" fontId="17" fillId="2" borderId="16" xfId="3" applyFont="1" applyFill="1" applyBorder="1" applyAlignment="1">
      <alignment horizontal="left" vertical="center" wrapText="1"/>
    </xf>
    <xf numFmtId="0" fontId="17" fillId="2" borderId="17" xfId="3" applyFont="1" applyFill="1" applyBorder="1" applyAlignment="1">
      <alignment horizontal="left" vertical="center" wrapText="1"/>
    </xf>
    <xf numFmtId="0" fontId="17" fillId="2" borderId="18" xfId="3" applyFont="1" applyFill="1" applyBorder="1" applyAlignment="1">
      <alignment horizontal="left" vertical="center" wrapText="1"/>
    </xf>
    <xf numFmtId="0" fontId="10" fillId="6" borderId="20" xfId="3" applyFont="1" applyFill="1" applyBorder="1" applyAlignment="1">
      <alignment horizontal="left" vertical="center" wrapText="1"/>
    </xf>
    <xf numFmtId="0" fontId="10" fillId="6" borderId="21" xfId="3" applyFont="1" applyFill="1" applyBorder="1" applyAlignment="1">
      <alignment horizontal="left" vertical="center" wrapText="1"/>
    </xf>
    <xf numFmtId="0" fontId="10" fillId="6" borderId="22" xfId="3" applyFont="1" applyFill="1" applyBorder="1" applyAlignment="1">
      <alignment horizontal="left" vertical="center" wrapText="1"/>
    </xf>
    <xf numFmtId="9" fontId="31" fillId="22" borderId="30" xfId="4" applyFont="1" applyFill="1" applyBorder="1" applyAlignment="1" applyProtection="1">
      <alignment horizontal="center" vertical="center" wrapText="1"/>
    </xf>
    <xf numFmtId="9" fontId="31" fillId="22" borderId="34" xfId="4" applyFont="1" applyFill="1" applyBorder="1" applyAlignment="1" applyProtection="1">
      <alignment horizontal="center" vertical="center" wrapText="1"/>
    </xf>
    <xf numFmtId="0" fontId="31" fillId="23" borderId="78" xfId="3" applyFont="1" applyFill="1" applyBorder="1" applyAlignment="1">
      <alignment horizontal="left" vertical="center" wrapText="1"/>
    </xf>
    <xf numFmtId="0" fontId="31" fillId="22" borderId="20" xfId="3" applyFont="1" applyFill="1" applyBorder="1" applyAlignment="1">
      <alignment horizontal="left" vertical="center" wrapText="1"/>
    </xf>
    <xf numFmtId="0" fontId="31" fillId="22" borderId="21" xfId="3" applyFont="1" applyFill="1" applyBorder="1" applyAlignment="1">
      <alignment horizontal="left" vertical="center" wrapText="1"/>
    </xf>
    <xf numFmtId="0" fontId="31" fillId="22" borderId="36" xfId="3" applyFont="1" applyFill="1" applyBorder="1" applyAlignment="1">
      <alignment horizontal="left" vertical="center" wrapText="1"/>
    </xf>
    <xf numFmtId="0" fontId="2" fillId="8" borderId="113" xfId="0" applyFont="1" applyFill="1" applyBorder="1" applyAlignment="1">
      <alignment horizontal="center" vertical="center"/>
    </xf>
    <xf numFmtId="0" fontId="2" fillId="8" borderId="46" xfId="0" applyFont="1" applyFill="1" applyBorder="1" applyAlignment="1">
      <alignment horizontal="center" vertical="center"/>
    </xf>
    <xf numFmtId="0" fontId="2" fillId="8" borderId="203" xfId="0" applyFont="1" applyFill="1" applyBorder="1" applyAlignment="1">
      <alignment horizontal="center" vertical="center"/>
    </xf>
    <xf numFmtId="0" fontId="2" fillId="8" borderId="128" xfId="0" applyFont="1" applyFill="1" applyBorder="1" applyAlignment="1">
      <alignment horizontal="center" vertical="center"/>
    </xf>
    <xf numFmtId="0" fontId="2" fillId="22" borderId="135" xfId="0" applyFont="1" applyFill="1" applyBorder="1" applyAlignment="1">
      <alignment horizontal="center" vertical="center"/>
    </xf>
    <xf numFmtId="0" fontId="2" fillId="22" borderId="134" xfId="0" applyFont="1" applyFill="1" applyBorder="1" applyAlignment="1">
      <alignment horizontal="center" vertical="center"/>
    </xf>
    <xf numFmtId="0" fontId="2" fillId="22" borderId="205" xfId="0" applyFont="1" applyFill="1" applyBorder="1" applyAlignment="1">
      <alignment horizontal="center" vertical="center"/>
    </xf>
    <xf numFmtId="0" fontId="21" fillId="25" borderId="124" xfId="0" applyFont="1" applyFill="1" applyBorder="1" applyAlignment="1">
      <alignment horizontal="left" vertical="center" wrapText="1"/>
    </xf>
    <xf numFmtId="0" fontId="21" fillId="25" borderId="176" xfId="0" applyFont="1" applyFill="1" applyBorder="1" applyAlignment="1">
      <alignment horizontal="left" vertical="center" wrapText="1"/>
    </xf>
    <xf numFmtId="0" fontId="21" fillId="25" borderId="50" xfId="0" applyFont="1" applyFill="1" applyBorder="1" applyAlignment="1">
      <alignment horizontal="left" vertical="center" wrapText="1"/>
    </xf>
    <xf numFmtId="0" fontId="21" fillId="25" borderId="42" xfId="0" applyFont="1" applyFill="1" applyBorder="1" applyAlignment="1">
      <alignment horizontal="left" vertical="center" wrapText="1"/>
    </xf>
    <xf numFmtId="0" fontId="21" fillId="25" borderId="45" xfId="0" applyFont="1" applyFill="1" applyBorder="1" applyAlignment="1">
      <alignment horizontal="left" vertical="center" wrapText="1"/>
    </xf>
    <xf numFmtId="0" fontId="21" fillId="25" borderId="57" xfId="0" applyFont="1" applyFill="1" applyBorder="1" applyAlignment="1">
      <alignment horizontal="left" vertical="center" wrapText="1"/>
    </xf>
    <xf numFmtId="0" fontId="21" fillId="25" borderId="175" xfId="0" applyFont="1" applyFill="1" applyBorder="1" applyAlignment="1">
      <alignment horizontal="left" vertical="center" wrapText="1"/>
    </xf>
    <xf numFmtId="0" fontId="21" fillId="25" borderId="145" xfId="0" applyFont="1" applyFill="1" applyBorder="1" applyAlignment="1">
      <alignment horizontal="left" vertical="center" wrapText="1"/>
    </xf>
    <xf numFmtId="0" fontId="21" fillId="25" borderId="107" xfId="0" applyFont="1" applyFill="1" applyBorder="1" applyAlignment="1">
      <alignment horizontal="left" vertical="center" wrapText="1"/>
    </xf>
    <xf numFmtId="0" fontId="21" fillId="25" borderId="155" xfId="0" applyFont="1" applyFill="1" applyBorder="1" applyAlignment="1">
      <alignment horizontal="left" vertical="center" wrapText="1"/>
    </xf>
    <xf numFmtId="0" fontId="21" fillId="25" borderId="146" xfId="0" applyFont="1" applyFill="1" applyBorder="1" applyAlignment="1">
      <alignment horizontal="left" vertical="center" wrapText="1"/>
    </xf>
    <xf numFmtId="0" fontId="21" fillId="25" borderId="156" xfId="0" applyFont="1" applyFill="1" applyBorder="1" applyAlignment="1">
      <alignment horizontal="left" vertical="center" wrapText="1"/>
    </xf>
    <xf numFmtId="0" fontId="47" fillId="25" borderId="0" xfId="0" applyFont="1" applyFill="1" applyAlignment="1">
      <alignment horizontal="center" vertical="center"/>
    </xf>
    <xf numFmtId="0" fontId="21" fillId="25" borderId="86" xfId="0" applyFont="1" applyFill="1" applyBorder="1" applyAlignment="1">
      <alignment horizontal="left" vertical="center" wrapText="1"/>
    </xf>
    <xf numFmtId="0" fontId="21" fillId="25" borderId="78" xfId="0" applyFont="1" applyFill="1" applyBorder="1" applyAlignment="1">
      <alignment horizontal="left" vertical="center" wrapText="1"/>
    </xf>
    <xf numFmtId="0" fontId="21" fillId="25" borderId="87" xfId="0" applyFont="1" applyFill="1" applyBorder="1" applyAlignment="1">
      <alignment horizontal="left" vertical="center" wrapText="1"/>
    </xf>
    <xf numFmtId="0" fontId="46" fillId="17" borderId="182" xfId="0" applyFont="1" applyFill="1" applyBorder="1" applyAlignment="1">
      <alignment horizontal="left" vertical="center" wrapText="1"/>
    </xf>
    <xf numFmtId="0" fontId="46" fillId="17" borderId="116" xfId="0" applyFont="1" applyFill="1" applyBorder="1" applyAlignment="1">
      <alignment horizontal="left" vertical="center" wrapText="1"/>
    </xf>
    <xf numFmtId="0" fontId="46" fillId="17" borderId="183" xfId="0" applyFont="1" applyFill="1" applyBorder="1" applyAlignment="1">
      <alignment horizontal="left" vertical="center" wrapText="1"/>
    </xf>
    <xf numFmtId="0" fontId="46" fillId="17" borderId="0" xfId="0" applyFont="1" applyFill="1" applyAlignment="1">
      <alignment horizontal="left" vertical="center" wrapText="1"/>
    </xf>
    <xf numFmtId="0" fontId="3" fillId="17" borderId="175" xfId="0" applyFont="1" applyFill="1" applyBorder="1" applyAlignment="1">
      <alignment horizontal="left" wrapText="1"/>
    </xf>
    <xf numFmtId="0" fontId="3" fillId="17" borderId="124" xfId="0" applyFont="1" applyFill="1" applyBorder="1" applyAlignment="1">
      <alignment horizontal="left" wrapText="1"/>
    </xf>
    <xf numFmtId="0" fontId="3" fillId="17" borderId="176" xfId="0" applyFont="1" applyFill="1" applyBorder="1" applyAlignment="1">
      <alignment horizontal="left" wrapText="1"/>
    </xf>
    <xf numFmtId="0" fontId="3" fillId="17" borderId="175" xfId="0" applyFont="1" applyFill="1" applyBorder="1" applyAlignment="1">
      <alignment horizontal="left" vertical="center" wrapText="1"/>
    </xf>
    <xf numFmtId="0" fontId="3" fillId="17" borderId="124" xfId="0" applyFont="1" applyFill="1" applyBorder="1" applyAlignment="1">
      <alignment horizontal="left" vertical="center" wrapText="1"/>
    </xf>
    <xf numFmtId="0" fontId="3" fillId="17" borderId="176" xfId="0" applyFont="1" applyFill="1" applyBorder="1" applyAlignment="1">
      <alignment horizontal="left" vertical="center" wrapText="1"/>
    </xf>
    <xf numFmtId="0" fontId="10" fillId="0" borderId="0" xfId="3" applyFont="1" applyAlignment="1">
      <alignment horizontal="left" vertical="center" wrapText="1"/>
    </xf>
    <xf numFmtId="9" fontId="10" fillId="0" borderId="42" xfId="4" applyFont="1" applyBorder="1" applyAlignment="1" applyProtection="1">
      <alignment horizontal="center" vertical="center" wrapText="1"/>
    </xf>
    <xf numFmtId="0" fontId="21" fillId="2" borderId="42" xfId="3" applyFont="1" applyFill="1" applyBorder="1" applyAlignment="1">
      <alignment horizontal="left" vertical="center" wrapText="1"/>
    </xf>
    <xf numFmtId="0" fontId="10" fillId="4" borderId="42" xfId="3" applyFont="1" applyFill="1" applyBorder="1" applyAlignment="1">
      <alignment horizontal="left"/>
    </xf>
    <xf numFmtId="9" fontId="10" fillId="0" borderId="42" xfId="4" applyFont="1" applyBorder="1" applyAlignment="1" applyProtection="1">
      <alignment horizontal="center" vertical="center"/>
    </xf>
    <xf numFmtId="0" fontId="10" fillId="5" borderId="42" xfId="3" applyFont="1" applyFill="1" applyBorder="1" applyAlignment="1">
      <alignment horizontal="left" vertical="center" wrapText="1"/>
    </xf>
    <xf numFmtId="0" fontId="17" fillId="2" borderId="42" xfId="0" applyFont="1" applyFill="1" applyBorder="1" applyAlignment="1">
      <alignment horizontal="center"/>
    </xf>
    <xf numFmtId="0" fontId="17" fillId="2" borderId="32" xfId="0" applyFont="1" applyFill="1" applyBorder="1" applyAlignment="1">
      <alignment horizontal="center"/>
    </xf>
    <xf numFmtId="1" fontId="10" fillId="3" borderId="42" xfId="3" applyNumberFormat="1" applyFont="1" applyFill="1" applyBorder="1" applyAlignment="1">
      <alignment horizontal="center" vertical="center" wrapText="1"/>
    </xf>
    <xf numFmtId="1" fontId="10" fillId="4" borderId="42" xfId="3" applyNumberFormat="1" applyFont="1" applyFill="1" applyBorder="1" applyAlignment="1">
      <alignment horizontal="center" vertical="center"/>
    </xf>
    <xf numFmtId="0" fontId="10" fillId="3" borderId="42" xfId="3" applyFont="1" applyFill="1" applyBorder="1" applyAlignment="1">
      <alignment horizontal="center" vertical="center" wrapText="1"/>
    </xf>
    <xf numFmtId="0" fontId="10" fillId="3" borderId="42" xfId="3" applyFont="1" applyFill="1" applyBorder="1" applyAlignment="1">
      <alignment vertical="center" wrapText="1"/>
    </xf>
    <xf numFmtId="0" fontId="10" fillId="4" borderId="42" xfId="3" applyFont="1" applyFill="1" applyBorder="1" applyAlignment="1">
      <alignment horizontal="center" vertical="center"/>
    </xf>
    <xf numFmtId="0" fontId="10" fillId="4" borderId="42" xfId="3" applyFont="1" applyFill="1" applyBorder="1" applyAlignment="1">
      <alignment horizontal="left" vertical="center"/>
    </xf>
    <xf numFmtId="0" fontId="10" fillId="5" borderId="43" xfId="3" applyFont="1" applyFill="1" applyBorder="1" applyAlignment="1">
      <alignment horizontal="left" vertical="center" wrapText="1"/>
    </xf>
    <xf numFmtId="0" fontId="10" fillId="5" borderId="46" xfId="3" applyFont="1" applyFill="1" applyBorder="1" applyAlignment="1">
      <alignment horizontal="left" vertical="center" wrapText="1"/>
    </xf>
    <xf numFmtId="0" fontId="10" fillId="5" borderId="44" xfId="3" applyFont="1" applyFill="1" applyBorder="1" applyAlignment="1">
      <alignment horizontal="left" vertical="center" wrapText="1"/>
    </xf>
    <xf numFmtId="0" fontId="4" fillId="0" borderId="35" xfId="3" applyFont="1" applyBorder="1" applyAlignment="1">
      <alignment horizontal="left" wrapText="1"/>
    </xf>
    <xf numFmtId="0" fontId="4" fillId="0" borderId="36" xfId="3" applyFont="1" applyBorder="1" applyAlignment="1">
      <alignment horizontal="left" wrapText="1"/>
    </xf>
    <xf numFmtId="0" fontId="4" fillId="3" borderId="20" xfId="3" applyFont="1" applyFill="1" applyBorder="1" applyAlignment="1">
      <alignment horizontal="left" wrapText="1"/>
    </xf>
    <xf numFmtId="0" fontId="4" fillId="3" borderId="21" xfId="3" applyFont="1" applyFill="1" applyBorder="1" applyAlignment="1">
      <alignment horizontal="left" wrapText="1"/>
    </xf>
    <xf numFmtId="0" fontId="4" fillId="3" borderId="36" xfId="3" applyFont="1" applyFill="1" applyBorder="1" applyAlignment="1">
      <alignment horizontal="left" wrapText="1"/>
    </xf>
    <xf numFmtId="0" fontId="4" fillId="3" borderId="22" xfId="3" applyFont="1" applyFill="1" applyBorder="1" applyAlignment="1">
      <alignment horizontal="left" wrapText="1"/>
    </xf>
    <xf numFmtId="0" fontId="5" fillId="0" borderId="20" xfId="3" applyFont="1" applyBorder="1" applyAlignment="1">
      <alignment horizontal="left" vertical="center" wrapText="1"/>
    </xf>
    <xf numFmtId="0" fontId="5" fillId="0" borderId="21" xfId="3" applyFont="1" applyBorder="1" applyAlignment="1">
      <alignment horizontal="left" vertical="center" wrapText="1"/>
    </xf>
    <xf numFmtId="0" fontId="5" fillId="0" borderId="22" xfId="3" applyFont="1" applyBorder="1" applyAlignment="1">
      <alignment horizontal="left" vertical="center" wrapText="1"/>
    </xf>
    <xf numFmtId="0" fontId="5" fillId="8" borderId="16" xfId="3" applyFont="1" applyFill="1" applyBorder="1" applyAlignment="1">
      <alignment horizontal="left"/>
    </xf>
    <xf numFmtId="0" fontId="5" fillId="8" borderId="17" xfId="3" applyFont="1" applyFill="1" applyBorder="1" applyAlignment="1">
      <alignment horizontal="left"/>
    </xf>
    <xf numFmtId="0" fontId="5" fillId="8" borderId="18" xfId="3" applyFont="1" applyFill="1" applyBorder="1" applyAlignment="1">
      <alignment horizontal="left"/>
    </xf>
    <xf numFmtId="0" fontId="4" fillId="3" borderId="20" xfId="3" applyFont="1" applyFill="1" applyBorder="1" applyAlignment="1">
      <alignment horizontal="center" wrapText="1"/>
    </xf>
    <xf numFmtId="0" fontId="4" fillId="3" borderId="21" xfId="3" applyFont="1" applyFill="1" applyBorder="1" applyAlignment="1">
      <alignment horizontal="center" wrapText="1"/>
    </xf>
    <xf numFmtId="0" fontId="4" fillId="3" borderId="22" xfId="3" applyFont="1" applyFill="1" applyBorder="1" applyAlignment="1">
      <alignment horizontal="center" wrapText="1"/>
    </xf>
    <xf numFmtId="9" fontId="4" fillId="3" borderId="30" xfId="4" applyFont="1" applyFill="1" applyBorder="1" applyAlignment="1" applyProtection="1">
      <alignment horizontal="center"/>
    </xf>
    <xf numFmtId="9" fontId="4" fillId="3" borderId="34" xfId="4" applyFont="1" applyFill="1" applyBorder="1" applyAlignment="1" applyProtection="1">
      <alignment horizontal="center"/>
    </xf>
    <xf numFmtId="0" fontId="5" fillId="8" borderId="0" xfId="3" applyFont="1" applyFill="1" applyAlignment="1">
      <alignment horizontal="left"/>
    </xf>
    <xf numFmtId="9" fontId="4" fillId="3" borderId="14" xfId="4" applyFont="1" applyFill="1" applyBorder="1" applyAlignment="1" applyProtection="1">
      <alignment horizontal="center"/>
    </xf>
    <xf numFmtId="9" fontId="4" fillId="3" borderId="15" xfId="4" applyFont="1" applyFill="1" applyBorder="1" applyAlignment="1" applyProtection="1">
      <alignment horizontal="center"/>
    </xf>
    <xf numFmtId="0" fontId="5" fillId="5" borderId="8" xfId="3" applyFont="1" applyFill="1" applyBorder="1" applyAlignment="1">
      <alignment horizontal="left" vertical="center" wrapText="1"/>
    </xf>
    <xf numFmtId="0" fontId="5" fillId="5" borderId="0" xfId="3" applyFont="1" applyFill="1" applyAlignment="1">
      <alignment horizontal="left" vertical="center" wrapText="1"/>
    </xf>
    <xf numFmtId="0" fontId="5" fillId="5" borderId="19" xfId="3" applyFont="1" applyFill="1" applyBorder="1" applyAlignment="1">
      <alignment horizontal="left" vertical="center" wrapText="1"/>
    </xf>
    <xf numFmtId="0" fontId="7" fillId="0" borderId="0" xfId="0" applyFont="1" applyAlignment="1">
      <alignment horizontal="center"/>
    </xf>
    <xf numFmtId="0" fontId="4" fillId="3" borderId="2"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4" fillId="3" borderId="0" xfId="3" applyFont="1" applyFill="1" applyAlignment="1">
      <alignment horizontal="center" vertical="center" wrapText="1"/>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8" fillId="3" borderId="5" xfId="3" applyFont="1" applyFill="1" applyBorder="1" applyAlignment="1">
      <alignment horizontal="center" vertical="center" wrapText="1"/>
    </xf>
    <xf numFmtId="0" fontId="8" fillId="3" borderId="10" xfId="3" applyFont="1" applyFill="1" applyBorder="1" applyAlignment="1">
      <alignment horizontal="center" vertical="center" wrapText="1"/>
    </xf>
    <xf numFmtId="0" fontId="8" fillId="3" borderId="6" xfId="3" applyFont="1" applyFill="1" applyBorder="1" applyAlignment="1">
      <alignment horizontal="center" vertical="center" wrapText="1"/>
    </xf>
    <xf numFmtId="0" fontId="8" fillId="3" borderId="11" xfId="3" applyFont="1" applyFill="1" applyBorder="1" applyAlignment="1">
      <alignment horizontal="center" vertical="center" wrapText="1"/>
    </xf>
    <xf numFmtId="0" fontId="8" fillId="3" borderId="7" xfId="3" applyFont="1" applyFill="1" applyBorder="1" applyAlignment="1">
      <alignment horizontal="center" vertical="center" wrapText="1"/>
    </xf>
    <xf numFmtId="0" fontId="8" fillId="3" borderId="12" xfId="3" applyFont="1" applyFill="1" applyBorder="1" applyAlignment="1">
      <alignment horizontal="center" vertical="center" wrapText="1"/>
    </xf>
    <xf numFmtId="0" fontId="5" fillId="0" borderId="26" xfId="3" applyFont="1" applyBorder="1" applyAlignment="1">
      <alignment horizontal="left" vertical="center" wrapText="1"/>
    </xf>
    <xf numFmtId="0" fontId="5" fillId="0" borderId="30" xfId="3" applyFont="1" applyBorder="1" applyAlignment="1">
      <alignment horizontal="left" vertical="center" wrapText="1"/>
    </xf>
    <xf numFmtId="0" fontId="5" fillId="0" borderId="27" xfId="3" applyFont="1" applyBorder="1" applyAlignment="1">
      <alignment horizontal="left" vertical="center" wrapText="1"/>
    </xf>
    <xf numFmtId="0" fontId="51" fillId="0" borderId="93" xfId="5" applyFont="1" applyBorder="1" applyAlignment="1" applyProtection="1">
      <alignment vertical="center" wrapText="1"/>
      <protection locked="0"/>
    </xf>
    <xf numFmtId="0" fontId="51" fillId="0" borderId="38" xfId="5" applyFont="1" applyBorder="1" applyAlignment="1" applyProtection="1">
      <alignment vertical="center" wrapText="1"/>
      <protection locked="0"/>
    </xf>
    <xf numFmtId="0" fontId="51" fillId="30" borderId="38" xfId="5" applyFont="1" applyFill="1" applyBorder="1" applyAlignment="1" applyProtection="1">
      <alignment horizontal="center" vertical="center" wrapText="1"/>
      <protection locked="0"/>
    </xf>
    <xf numFmtId="0" fontId="51" fillId="0" borderId="38" xfId="5" applyFont="1" applyBorder="1" applyAlignment="1" applyProtection="1">
      <alignment vertical="center" wrapText="1"/>
      <protection locked="0"/>
    </xf>
    <xf numFmtId="0" fontId="51" fillId="0" borderId="96" xfId="5" applyFont="1" applyBorder="1" applyAlignment="1" applyProtection="1">
      <alignment vertical="center" wrapText="1"/>
      <protection locked="0"/>
    </xf>
    <xf numFmtId="0" fontId="55" fillId="19" borderId="94" xfId="5" applyFont="1" applyFill="1" applyBorder="1" applyAlignment="1" applyProtection="1">
      <alignment horizontal="left" vertical="center" wrapText="1"/>
      <protection locked="0"/>
    </xf>
    <xf numFmtId="0" fontId="55" fillId="19" borderId="41" xfId="5" applyFont="1" applyFill="1" applyBorder="1" applyAlignment="1" applyProtection="1">
      <alignment horizontal="left" vertical="center" wrapText="1"/>
      <protection locked="0"/>
    </xf>
    <xf numFmtId="0" fontId="55" fillId="19" borderId="95" xfId="5" applyFont="1" applyFill="1" applyBorder="1" applyAlignment="1" applyProtection="1">
      <alignment horizontal="left" vertical="center" wrapText="1"/>
      <protection locked="0"/>
    </xf>
    <xf numFmtId="9" fontId="51" fillId="30" borderId="40" xfId="5" applyNumberFormat="1" applyFont="1" applyFill="1" applyBorder="1" applyAlignment="1" applyProtection="1">
      <alignment horizontal="left" vertical="center" wrapText="1"/>
      <protection locked="0"/>
    </xf>
    <xf numFmtId="9" fontId="51" fillId="30" borderId="100" xfId="5" applyNumberFormat="1" applyFont="1" applyFill="1" applyBorder="1" applyAlignment="1" applyProtection="1">
      <alignment horizontal="left" vertical="center" wrapText="1"/>
      <protection locked="0"/>
    </xf>
    <xf numFmtId="0" fontId="51" fillId="0" borderId="40" xfId="5" applyFont="1" applyBorder="1" applyAlignment="1" applyProtection="1">
      <alignment horizontal="left" vertical="center" wrapText="1"/>
      <protection locked="0"/>
    </xf>
    <xf numFmtId="0" fontId="51" fillId="0" borderId="95" xfId="5" applyFont="1" applyBorder="1" applyAlignment="1" applyProtection="1">
      <alignment horizontal="left" vertical="center" wrapText="1"/>
      <protection locked="0"/>
    </xf>
    <xf numFmtId="0" fontId="51" fillId="0" borderId="96" xfId="5" applyFont="1" applyBorder="1" applyAlignment="1" applyProtection="1">
      <alignment vertical="center" wrapText="1"/>
      <protection locked="0"/>
    </xf>
    <xf numFmtId="0" fontId="51" fillId="0" borderId="38" xfId="5" applyFont="1" applyBorder="1" applyAlignment="1" applyProtection="1">
      <alignment horizontal="center" vertical="center" wrapText="1"/>
      <protection locked="0"/>
    </xf>
    <xf numFmtId="0" fontId="51" fillId="0" borderId="40" xfId="5" applyFont="1" applyBorder="1" applyAlignment="1" applyProtection="1">
      <alignment vertical="center" wrapText="1"/>
      <protection locked="0"/>
    </xf>
    <xf numFmtId="0" fontId="51" fillId="0" borderId="95" xfId="5" applyFont="1" applyBorder="1" applyAlignment="1" applyProtection="1">
      <alignment vertical="center" wrapText="1"/>
      <protection locked="0"/>
    </xf>
    <xf numFmtId="0" fontId="51" fillId="0" borderId="98" xfId="5" applyFont="1" applyBorder="1" applyAlignment="1" applyProtection="1">
      <alignment vertical="center" wrapText="1"/>
      <protection locked="0"/>
    </xf>
    <xf numFmtId="0" fontId="51" fillId="0" borderId="39" xfId="5" applyFont="1" applyBorder="1" applyAlignment="1" applyProtection="1">
      <alignment vertical="center" wrapText="1"/>
      <protection locked="0"/>
    </xf>
    <xf numFmtId="0" fontId="51" fillId="30" borderId="38" xfId="5" applyFont="1" applyFill="1" applyBorder="1" applyAlignment="1" applyProtection="1">
      <alignment horizontal="left" vertical="center" wrapText="1"/>
      <protection locked="0"/>
    </xf>
    <xf numFmtId="0" fontId="51" fillId="0" borderId="184" xfId="5" applyFont="1" applyBorder="1" applyAlignment="1" applyProtection="1">
      <alignment vertical="center" wrapText="1"/>
      <protection locked="0"/>
    </xf>
    <xf numFmtId="0" fontId="51" fillId="30" borderId="100" xfId="5" applyFont="1" applyFill="1" applyBorder="1" applyAlignment="1" applyProtection="1">
      <alignment horizontal="left" vertical="center" wrapText="1"/>
      <protection locked="0"/>
    </xf>
    <xf numFmtId="0" fontId="51" fillId="0" borderId="100" xfId="5" applyFont="1" applyBorder="1" applyAlignment="1" applyProtection="1">
      <alignment horizontal="left" vertical="center" wrapText="1"/>
      <protection locked="0"/>
    </xf>
    <xf numFmtId="0" fontId="51" fillId="0" borderId="188" xfId="5" applyFont="1" applyBorder="1" applyAlignment="1" applyProtection="1">
      <alignment vertical="center" wrapText="1"/>
      <protection locked="0"/>
    </xf>
    <xf numFmtId="0" fontId="51" fillId="30" borderId="184" xfId="5" applyFont="1" applyFill="1" applyBorder="1" applyAlignment="1" applyProtection="1">
      <alignment horizontal="left" vertical="center" wrapText="1"/>
      <protection locked="0"/>
    </xf>
    <xf numFmtId="0" fontId="51" fillId="30" borderId="184" xfId="5" applyFont="1" applyFill="1" applyBorder="1" applyAlignment="1" applyProtection="1">
      <alignment horizontal="center" vertical="center" wrapText="1"/>
      <protection locked="0"/>
    </xf>
    <xf numFmtId="0" fontId="51" fillId="0" borderId="188" xfId="5" applyFont="1" applyBorder="1" applyAlignment="1" applyProtection="1">
      <alignment horizontal="left" vertical="center" wrapText="1"/>
      <protection locked="0"/>
    </xf>
    <xf numFmtId="0" fontId="51" fillId="0" borderId="187" xfId="5" applyFont="1" applyBorder="1" applyAlignment="1" applyProtection="1">
      <alignment horizontal="left" vertical="center" wrapText="1"/>
      <protection locked="0"/>
    </xf>
    <xf numFmtId="0" fontId="17" fillId="2" borderId="206" xfId="0" applyFont="1" applyFill="1" applyBorder="1" applyAlignment="1">
      <alignment horizontal="center" vertical="center"/>
    </xf>
    <xf numFmtId="0" fontId="17" fillId="2" borderId="0" xfId="0" applyFont="1" applyFill="1" applyAlignment="1">
      <alignment horizontal="center" vertical="center"/>
    </xf>
    <xf numFmtId="0" fontId="2" fillId="27" borderId="155" xfId="0" applyFont="1" applyFill="1" applyBorder="1" applyAlignment="1">
      <alignment horizontal="left" vertical="center" wrapText="1"/>
    </xf>
    <xf numFmtId="0" fontId="17" fillId="27" borderId="155" xfId="0" applyFont="1" applyFill="1" applyBorder="1" applyAlignment="1">
      <alignment horizontal="left" vertical="center" wrapText="1"/>
    </xf>
    <xf numFmtId="0" fontId="2" fillId="27" borderId="115" xfId="0" applyFont="1" applyFill="1" applyBorder="1" applyAlignment="1">
      <alignment horizontal="left" vertical="center" wrapText="1"/>
    </xf>
    <xf numFmtId="0" fontId="2" fillId="27" borderId="0" xfId="0" applyFont="1" applyFill="1" applyAlignment="1">
      <alignment horizontal="left" vertical="center" wrapText="1"/>
    </xf>
    <xf numFmtId="0" fontId="2" fillId="32" borderId="207" xfId="0" applyFont="1" applyFill="1" applyBorder="1" applyAlignment="1">
      <alignment horizontal="left" vertical="center" wrapText="1"/>
    </xf>
    <xf numFmtId="0" fontId="2" fillId="27" borderId="117" xfId="0" applyFont="1" applyFill="1" applyBorder="1" applyAlignment="1">
      <alignment horizontal="left" vertical="center" wrapText="1"/>
    </xf>
    <xf numFmtId="0" fontId="17" fillId="28" borderId="208" xfId="0" applyFont="1" applyFill="1" applyBorder="1" applyAlignment="1">
      <alignment horizontal="left" vertical="center"/>
    </xf>
    <xf numFmtId="0" fontId="17" fillId="28" borderId="209" xfId="0" applyFont="1" applyFill="1" applyBorder="1" applyAlignment="1">
      <alignment horizontal="left" vertical="center"/>
    </xf>
    <xf numFmtId="0" fontId="54" fillId="28" borderId="209" xfId="0" applyFont="1" applyFill="1" applyBorder="1" applyAlignment="1">
      <alignment horizontal="left" vertical="center"/>
    </xf>
    <xf numFmtId="0" fontId="54" fillId="28" borderId="209" xfId="0" applyFont="1" applyFill="1" applyBorder="1" applyAlignment="1" applyProtection="1">
      <alignment horizontal="left" vertical="center" wrapText="1"/>
      <protection locked="0"/>
    </xf>
    <xf numFmtId="0" fontId="54" fillId="28" borderId="209" xfId="0" applyFont="1" applyFill="1" applyBorder="1" applyAlignment="1" applyProtection="1">
      <alignment horizontal="center" vertical="center"/>
      <protection locked="0"/>
    </xf>
    <xf numFmtId="0" fontId="17" fillId="28" borderId="209" xfId="0" applyFont="1" applyFill="1" applyBorder="1" applyAlignment="1">
      <alignment horizontal="center" vertical="center"/>
    </xf>
    <xf numFmtId="0" fontId="0" fillId="28" borderId="209" xfId="0" applyFill="1" applyBorder="1" applyAlignment="1">
      <alignment horizontal="center" vertical="center"/>
    </xf>
    <xf numFmtId="0" fontId="0" fillId="0" borderId="210" xfId="0" applyBorder="1" applyAlignment="1" applyProtection="1">
      <alignment horizontal="left" vertical="center"/>
      <protection locked="0"/>
    </xf>
    <xf numFmtId="0" fontId="0" fillId="0" borderId="210" xfId="0" applyBorder="1" applyAlignment="1">
      <alignment horizontal="left" vertical="center"/>
    </xf>
    <xf numFmtId="0" fontId="0" fillId="0" borderId="210" xfId="0" applyBorder="1" applyAlignment="1" applyProtection="1">
      <alignment horizontal="left" vertical="center" wrapText="1"/>
      <protection locked="0"/>
    </xf>
    <xf numFmtId="1" fontId="0" fillId="0" borderId="210" xfId="0" applyNumberFormat="1" applyBorder="1" applyAlignment="1" applyProtection="1">
      <alignment horizontal="center" vertical="center"/>
      <protection locked="0"/>
    </xf>
    <xf numFmtId="2" fontId="0" fillId="0" borderId="210" xfId="0" applyNumberFormat="1" applyBorder="1" applyAlignment="1" applyProtection="1">
      <alignment horizontal="center" vertical="center"/>
      <protection locked="0"/>
    </xf>
    <xf numFmtId="9" fontId="2" fillId="33" borderId="211" xfId="0" applyNumberFormat="1" applyFont="1" applyFill="1" applyBorder="1" applyAlignment="1">
      <alignment horizontal="center" vertical="center"/>
    </xf>
    <xf numFmtId="0" fontId="2" fillId="0" borderId="212" xfId="0" applyFont="1" applyBorder="1" applyAlignment="1">
      <alignment horizontal="center" vertical="center"/>
    </xf>
    <xf numFmtId="0" fontId="0" fillId="0" borderId="204" xfId="0" applyBorder="1" applyAlignment="1" applyProtection="1">
      <alignment horizontal="left" vertical="center"/>
      <protection locked="0"/>
    </xf>
    <xf numFmtId="0" fontId="0" fillId="0" borderId="204" xfId="0" applyBorder="1" applyAlignment="1">
      <alignment horizontal="left" vertical="center"/>
    </xf>
    <xf numFmtId="0" fontId="0" fillId="0" borderId="204" xfId="0" applyBorder="1" applyAlignment="1" applyProtection="1">
      <alignment horizontal="left" vertical="center" wrapText="1"/>
      <protection locked="0"/>
    </xf>
    <xf numFmtId="1" fontId="0" fillId="0" borderId="204" xfId="0" applyNumberFormat="1" applyBorder="1" applyAlignment="1" applyProtection="1">
      <alignment horizontal="center" vertical="center"/>
      <protection locked="0"/>
    </xf>
    <xf numFmtId="2" fontId="0" fillId="0" borderId="204" xfId="0" applyNumberFormat="1" applyBorder="1" applyAlignment="1" applyProtection="1">
      <alignment horizontal="center" vertical="center"/>
      <protection locked="0"/>
    </xf>
    <xf numFmtId="9" fontId="2" fillId="33" borderId="213" xfId="0" applyNumberFormat="1" applyFont="1" applyFill="1" applyBorder="1" applyAlignment="1">
      <alignment horizontal="center" vertical="center"/>
    </xf>
    <xf numFmtId="0" fontId="2" fillId="0" borderId="214" xfId="0" applyFont="1" applyBorder="1" applyAlignment="1">
      <alignment horizontal="center" vertical="center"/>
    </xf>
    <xf numFmtId="0" fontId="0" fillId="0" borderId="187" xfId="0" applyBorder="1" applyAlignment="1" applyProtection="1">
      <alignment horizontal="left" vertical="center"/>
      <protection locked="0"/>
    </xf>
    <xf numFmtId="2" fontId="0" fillId="0" borderId="155" xfId="0" applyNumberFormat="1" applyBorder="1" applyAlignment="1" applyProtection="1">
      <alignment horizontal="center" vertical="center"/>
      <protection locked="0"/>
    </xf>
  </cellXfs>
  <cellStyles count="7">
    <cellStyle name="Comma" xfId="1" builtinId="3"/>
    <cellStyle name="Hyperlink" xfId="6" builtinId="8"/>
    <cellStyle name="Normal" xfId="0" builtinId="0"/>
    <cellStyle name="Normal 2" xfId="3" xr:uid="{00000000-0005-0000-0000-000003000000}"/>
    <cellStyle name="Normal 3" xfId="5" xr:uid="{0CDB0493-B942-416B-984F-0AC7B096FCF7}"/>
    <cellStyle name="Percent" xfId="2" builtinId="5"/>
    <cellStyle name="Percent 2" xfId="4" xr:uid="{00000000-0005-0000-0000-000005000000}"/>
  </cellStyles>
  <dxfs count="23">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font>
        <b/>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medium">
          <color auto="1"/>
        </left>
        <right style="medium">
          <color auto="1"/>
        </right>
        <top style="thin">
          <color auto="1"/>
        </top>
        <bottom style="thin">
          <color auto="1"/>
        </bottom>
      </border>
    </dxf>
    <dxf>
      <font>
        <strike val="0"/>
        <outline val="0"/>
        <shadow val="0"/>
        <u val="none"/>
        <vertAlign val="baseline"/>
        <sz val="11"/>
        <name val="Calibri"/>
        <family val="2"/>
      </font>
    </dxf>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alignment horizontal="left" vertical="center" textRotation="0"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1"/>
        <color theme="1"/>
        <name val="Calibri"/>
        <family val="2"/>
        <scheme val="minor"/>
      </font>
      <alignment horizontal="left" vertical="center" textRotation="0" indent="0" justifyLastLine="0" shrinkToFit="0" readingOrder="0"/>
      <border diagonalUp="0" diagonalDown="0" outline="0">
        <left/>
        <right style="thin">
          <color auto="1"/>
        </right>
        <top style="thin">
          <color auto="1"/>
        </top>
        <bottom style="thin">
          <color auto="1"/>
        </bottom>
      </border>
    </dxf>
    <dxf>
      <border outline="0">
        <bottom style="thin">
          <color theme="1"/>
        </bottom>
      </border>
    </dxf>
    <dxf>
      <border outline="0">
        <top style="thin">
          <color theme="1"/>
        </top>
      </border>
    </dxf>
    <dxf>
      <font>
        <b val="0"/>
        <strike val="0"/>
        <outline val="0"/>
        <shadow val="0"/>
        <u val="none"/>
        <vertAlign val="baseline"/>
        <sz val="11"/>
        <color theme="1"/>
        <name val="Calibri"/>
        <family val="2"/>
        <scheme val="minor"/>
      </font>
      <alignment horizontal="left"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CAFFCA"/>
        </patternFill>
      </fill>
    </dxf>
    <dxf>
      <fill>
        <patternFill>
          <bgColor rgb="FFCAFFCA"/>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C000"/>
        </patternFill>
      </fill>
    </dxf>
    <dxf>
      <fill>
        <patternFill>
          <bgColor rgb="FFFFC000"/>
        </patternFill>
      </fill>
    </dxf>
    <dxf>
      <fill>
        <patternFill>
          <bgColor rgb="FFFFC000"/>
        </patternFill>
      </fill>
    </dxf>
    <dxf>
      <fill>
        <patternFill>
          <bgColor rgb="FFCAFFCA"/>
        </patternFill>
      </fill>
    </dxf>
    <dxf>
      <fill>
        <patternFill>
          <bgColor rgb="FFFF0000"/>
        </patternFill>
      </fill>
    </dxf>
    <dxf>
      <fill>
        <patternFill>
          <bgColor rgb="FFCAFFCA"/>
        </patternFill>
      </fill>
    </dxf>
    <dxf>
      <fill>
        <patternFill>
          <bgColor rgb="FFCA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 Patra, Alicia" id="{DBFFD22A-3A8F-4464-88C5-58DB33551A50}" userId="S::ALaPatra@pwcgov.org::2dec7ea7-c3ac-4de3-aeb9-ec559a69f78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A56EF1-DDBB-402D-9E03-2970339E902E}" name="Table2033" displayName="Table2033" ref="A2:I10" totalsRowShown="0" headerRowDxfId="11" dataDxfId="10" headerRowBorderDxfId="8" tableBorderDxfId="9">
  <autoFilter ref="A2:I10" xr:uid="{F3A56EF1-DDBB-402D-9E03-2970339E902E}"/>
  <sortState xmlns:xlrd2="http://schemas.microsoft.com/office/spreadsheetml/2017/richdata2" ref="A3:I7">
    <sortCondition descending="1" ref="H3:H7"/>
  </sortState>
  <tableColumns count="9">
    <tableColumn id="1" xr3:uid="{EB26CF9B-EBEA-4B40-8C1C-F91679FCB9B6}" name="Grant #" dataDxfId="7"/>
    <tableColumn id="12" xr3:uid="{6749CBF1-17DF-48F1-99D1-40DF801A7613}" name="Project Name"/>
    <tableColumn id="3" xr3:uid="{F4566929-3AF1-4539-AA6F-7E47AC97F846}" name="Project Type" dataDxfId="6"/>
    <tableColumn id="9" xr3:uid="{D6659F0F-09D1-471E-8BC9-44795C4D29BC}" name="Recipient Name" dataDxfId="5"/>
    <tableColumn id="8" xr3:uid="{F3FEA57B-3190-4E9A-800D-83BB9BED9873}" name="Performance Points Available*" dataDxfId="4"/>
    <tableColumn id="7" xr3:uid="{EB568361-9531-4F1F-A16A-1DEB50161DC5}" name="Performance Points Earned" dataDxfId="3"/>
    <tableColumn id="2" xr3:uid="{FB65A362-A734-47B5-8112-0D152FB24294}" name="Bonus Points Earned" dataDxfId="2"/>
    <tableColumn id="5" xr3:uid="{27E64C10-2A42-492B-B235-83C3F4C07844}" name="Score" dataDxfId="1"/>
    <tableColumn id="10" xr3:uid="{F2607E77-37C6-4DF3-8DCD-C1BB4030BD71}" name="Rank"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1-26T02:35:55.44" personId="{DBFFD22A-3A8F-4464-88C5-58DB33551A50}" id="{C35772CE-565C-40C6-AB0B-709244E3E02D}">
    <text xml:space="preserve">No edits </text>
  </threadedComment>
</ThreadedComments>
</file>

<file path=xl/threadedComments/threadedComment2.xml><?xml version="1.0" encoding="utf-8"?>
<ThreadedComments xmlns="http://schemas.microsoft.com/office/spreadsheetml/2018/threadedcomments" xmlns:x="http://schemas.openxmlformats.org/spreadsheetml/2006/main">
  <threadedComment ref="H2" dT="2024-07-26T17:37:28.08" personId="{DBFFD22A-3A8F-4464-88C5-58DB33551A50}" id="{2586AEFC-EF88-4A71-803C-5004D08541EE}">
    <text>Formula for scores: ((Performance Points Earned (Column H) / Performance Points Available (Column G) * 100) + (Bonus Points Earned (Column I))) = Final Score (Column J)</text>
  </threadedComment>
</ThreadedComments>
</file>

<file path=xl/threadedComments/threadedComment3.xml><?xml version="1.0" encoding="utf-8"?>
<ThreadedComments xmlns="http://schemas.microsoft.com/office/spreadsheetml/2018/threadedcomments" xmlns:x="http://schemas.openxmlformats.org/spreadsheetml/2006/main">
  <threadedComment ref="D1" dT="2025-11-26T02:49:12.39" personId="{DBFFD22A-3A8F-4464-88C5-58DB33551A50}" id="{1AC80250-06B3-4482-9779-478860DD9F16}">
    <text>Updated project names to match Sage; projects in red text need to be removed (combined with other projects)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8" Type="http://schemas.openxmlformats.org/officeDocument/2006/relationships/hyperlink" Target="javascript:void(0);" TargetMode="External"/><Relationship Id="rId13" Type="http://schemas.openxmlformats.org/officeDocument/2006/relationships/hyperlink" Target="javascript:void(0);"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12"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hyperlink" Target="javascript:void(0);" TargetMode="External"/><Relationship Id="rId5" Type="http://schemas.openxmlformats.org/officeDocument/2006/relationships/hyperlink" Target="javascript:void(0);" TargetMode="External"/><Relationship Id="rId10"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3252-8AF3-4B4E-896B-A70AFB82F2D2}">
  <sheetPr>
    <tabColor theme="1" tint="0.34998626667073579"/>
  </sheetPr>
  <dimension ref="A1:B7"/>
  <sheetViews>
    <sheetView workbookViewId="0">
      <selection activeCell="A2" sqref="A2"/>
    </sheetView>
  </sheetViews>
  <sheetFormatPr defaultRowHeight="15" x14ac:dyDescent="0.25"/>
  <cols>
    <col min="1" max="1" width="4.42578125" customWidth="1"/>
    <col min="2" max="2" width="77.42578125" style="51" customWidth="1"/>
    <col min="3" max="3" width="9.42578125" customWidth="1"/>
  </cols>
  <sheetData>
    <row r="1" spans="1:2" ht="23.25" customHeight="1" x14ac:dyDescent="0.25">
      <c r="A1" s="521" t="s">
        <v>299</v>
      </c>
      <c r="B1" s="521"/>
    </row>
    <row r="2" spans="1:2" ht="30" x14ac:dyDescent="0.25">
      <c r="A2" s="82">
        <v>1</v>
      </c>
      <c r="B2" s="83" t="s">
        <v>439</v>
      </c>
    </row>
    <row r="3" spans="1:2" ht="30" x14ac:dyDescent="0.25">
      <c r="A3" s="82">
        <v>2</v>
      </c>
      <c r="B3" s="83" t="s">
        <v>438</v>
      </c>
    </row>
    <row r="4" spans="1:2" ht="60" x14ac:dyDescent="0.25">
      <c r="A4" s="82">
        <v>3</v>
      </c>
      <c r="B4" s="83" t="s">
        <v>440</v>
      </c>
    </row>
    <row r="5" spans="1:2" ht="90" x14ac:dyDescent="0.25">
      <c r="A5" s="82">
        <v>4</v>
      </c>
      <c r="B5" s="83" t="s">
        <v>441</v>
      </c>
    </row>
    <row r="6" spans="1:2" ht="30" x14ac:dyDescent="0.25">
      <c r="A6" s="82">
        <v>5</v>
      </c>
      <c r="B6" s="83" t="s">
        <v>442</v>
      </c>
    </row>
    <row r="7" spans="1:2" ht="30" x14ac:dyDescent="0.25">
      <c r="A7" s="82">
        <v>6</v>
      </c>
      <c r="B7" s="83" t="s">
        <v>298</v>
      </c>
    </row>
  </sheetData>
  <mergeCells count="1">
    <mergeCell ref="A1:B1"/>
  </mergeCells>
  <pageMargins left="0.7" right="0.7" top="0.75" bottom="0.75" header="0.3" footer="0.3"/>
  <pageSetup orientation="portrait" horizontalDpi="90" verticalDpi="9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4E528-528D-4D13-B33C-ADF30CA99865}">
  <sheetPr>
    <tabColor theme="2" tint="-0.499984740745262"/>
    <pageSetUpPr fitToPage="1"/>
  </sheetPr>
  <dimension ref="A1:K276"/>
  <sheetViews>
    <sheetView workbookViewId="0">
      <selection sqref="A1:C1"/>
    </sheetView>
  </sheetViews>
  <sheetFormatPr defaultColWidth="8.85546875" defaultRowHeight="15" x14ac:dyDescent="0.25"/>
  <cols>
    <col min="1" max="1" width="53.140625" style="254" customWidth="1"/>
    <col min="2" max="2" width="13.5703125" style="253" customWidth="1"/>
    <col min="3" max="3" width="22.5703125" style="253" customWidth="1"/>
    <col min="4" max="4" width="18.5703125" style="253" customWidth="1"/>
    <col min="5" max="5" width="13.85546875" style="253" customWidth="1"/>
    <col min="6" max="6" width="15.5703125" style="253" customWidth="1"/>
    <col min="7" max="7" width="15.42578125" style="253" customWidth="1"/>
    <col min="8" max="8" width="14.85546875" style="253" customWidth="1"/>
    <col min="9" max="9" width="15.5703125" style="253" customWidth="1"/>
    <col min="10" max="10" width="17.42578125" style="253" customWidth="1"/>
    <col min="11" max="11" width="14" style="254" customWidth="1"/>
    <col min="12" max="12" width="13.140625" style="254" customWidth="1"/>
    <col min="13" max="13" width="14" style="254" customWidth="1"/>
    <col min="14" max="15" width="13.140625" style="254" customWidth="1"/>
    <col min="16" max="16384" width="8.85546875" style="254"/>
  </cols>
  <sheetData>
    <row r="1" spans="1:11" s="279" customFormat="1" ht="22.5" customHeight="1" x14ac:dyDescent="0.25">
      <c r="A1" s="789" t="s">
        <v>612</v>
      </c>
      <c r="B1" s="789"/>
      <c r="C1" s="789"/>
      <c r="D1" s="278"/>
      <c r="E1" s="278"/>
      <c r="F1" s="278"/>
      <c r="G1" s="278"/>
      <c r="H1" s="278"/>
      <c r="I1" s="278"/>
      <c r="J1" s="278"/>
    </row>
    <row r="2" spans="1:11" ht="15.75" thickBot="1" x14ac:dyDescent="0.3"/>
    <row r="3" spans="1:11" ht="42.6" customHeight="1" thickTop="1" thickBot="1" x14ac:dyDescent="0.3">
      <c r="A3" s="255" t="s">
        <v>146</v>
      </c>
      <c r="B3" s="256" t="s">
        <v>416</v>
      </c>
      <c r="C3" s="257" t="s">
        <v>417</v>
      </c>
      <c r="K3" s="253"/>
    </row>
    <row r="4" spans="1:11" ht="16.5" thickTop="1" thickBot="1" x14ac:dyDescent="0.3">
      <c r="A4" s="258" t="s">
        <v>82</v>
      </c>
      <c r="B4" s="259">
        <v>24</v>
      </c>
      <c r="C4" s="260">
        <v>24</v>
      </c>
      <c r="K4" s="253"/>
    </row>
    <row r="5" spans="1:11" ht="16.5" thickTop="1" thickBot="1" x14ac:dyDescent="0.3">
      <c r="A5" s="261" t="s">
        <v>147</v>
      </c>
      <c r="B5" s="259">
        <v>21</v>
      </c>
      <c r="C5" s="260">
        <v>21</v>
      </c>
      <c r="K5" s="253"/>
    </row>
    <row r="6" spans="1:11" ht="15.75" thickTop="1" x14ac:dyDescent="0.25">
      <c r="A6" s="261" t="s">
        <v>148</v>
      </c>
      <c r="B6" s="259">
        <v>3</v>
      </c>
      <c r="C6" s="262">
        <v>3</v>
      </c>
      <c r="K6" s="253"/>
    </row>
    <row r="7" spans="1:11" x14ac:dyDescent="0.25">
      <c r="A7" s="261" t="s">
        <v>149</v>
      </c>
      <c r="B7" s="259">
        <v>0</v>
      </c>
      <c r="C7" s="262">
        <v>0</v>
      </c>
      <c r="K7" s="253"/>
    </row>
    <row r="8" spans="1:11" x14ac:dyDescent="0.25">
      <c r="A8" s="261" t="s">
        <v>150</v>
      </c>
      <c r="B8" s="259">
        <v>8</v>
      </c>
      <c r="C8" s="262">
        <v>8</v>
      </c>
      <c r="K8" s="253"/>
    </row>
    <row r="9" spans="1:11" x14ac:dyDescent="0.25">
      <c r="A9" s="261" t="s">
        <v>151</v>
      </c>
      <c r="B9" s="259">
        <v>6</v>
      </c>
      <c r="C9" s="262">
        <v>6</v>
      </c>
      <c r="K9" s="253"/>
    </row>
    <row r="10" spans="1:11" x14ac:dyDescent="0.25">
      <c r="A10" s="261" t="s">
        <v>152</v>
      </c>
      <c r="B10" s="259">
        <v>6</v>
      </c>
      <c r="C10" s="262">
        <v>6</v>
      </c>
      <c r="K10" s="253"/>
    </row>
    <row r="11" spans="1:11" x14ac:dyDescent="0.25">
      <c r="A11" s="261" t="s">
        <v>153</v>
      </c>
      <c r="B11" s="259">
        <v>16</v>
      </c>
      <c r="C11" s="262">
        <v>16</v>
      </c>
      <c r="K11" s="253"/>
    </row>
    <row r="12" spans="1:11" x14ac:dyDescent="0.25">
      <c r="A12" s="261" t="s">
        <v>154</v>
      </c>
      <c r="B12" s="259">
        <v>15</v>
      </c>
      <c r="C12" s="262">
        <v>15</v>
      </c>
      <c r="K12" s="253"/>
    </row>
    <row r="13" spans="1:11" x14ac:dyDescent="0.25">
      <c r="A13" s="261" t="s">
        <v>155</v>
      </c>
      <c r="B13" s="259">
        <v>0</v>
      </c>
      <c r="C13" s="262">
        <v>0</v>
      </c>
      <c r="K13" s="253"/>
    </row>
    <row r="14" spans="1:11" x14ac:dyDescent="0.25">
      <c r="A14" s="261" t="s">
        <v>156</v>
      </c>
      <c r="B14" s="259">
        <v>18</v>
      </c>
      <c r="C14" s="262">
        <v>18</v>
      </c>
      <c r="K14" s="253"/>
    </row>
    <row r="15" spans="1:11" x14ac:dyDescent="0.25">
      <c r="A15" s="261" t="s">
        <v>157</v>
      </c>
      <c r="B15" s="259">
        <v>1</v>
      </c>
      <c r="C15" s="262">
        <v>1</v>
      </c>
      <c r="K15" s="253"/>
    </row>
    <row r="16" spans="1:11" ht="30" x14ac:dyDescent="0.25">
      <c r="A16" s="261" t="s">
        <v>158</v>
      </c>
      <c r="B16" s="259">
        <v>0</v>
      </c>
      <c r="C16" s="262">
        <v>0</v>
      </c>
      <c r="K16" s="253"/>
    </row>
    <row r="17" spans="1:11" x14ac:dyDescent="0.25">
      <c r="A17" s="261" t="s">
        <v>159</v>
      </c>
      <c r="B17" s="259">
        <v>20</v>
      </c>
      <c r="C17" s="262">
        <v>20</v>
      </c>
      <c r="K17" s="253"/>
    </row>
    <row r="18" spans="1:11" ht="30" x14ac:dyDescent="0.25">
      <c r="A18" s="261" t="s">
        <v>160</v>
      </c>
      <c r="B18" s="259">
        <v>0</v>
      </c>
      <c r="C18" s="262">
        <v>0</v>
      </c>
      <c r="K18" s="253"/>
    </row>
    <row r="19" spans="1:11" ht="30.75" thickBot="1" x14ac:dyDescent="0.3">
      <c r="A19" s="263" t="s">
        <v>161</v>
      </c>
      <c r="B19" s="264">
        <v>12</v>
      </c>
      <c r="C19" s="265">
        <v>12</v>
      </c>
      <c r="K19" s="253"/>
    </row>
    <row r="20" spans="1:11" ht="15.75" thickTop="1" x14ac:dyDescent="0.25">
      <c r="A20" s="266"/>
      <c r="B20" s="266"/>
    </row>
    <row r="21" spans="1:11" ht="15.75" thickBot="1" x14ac:dyDescent="0.3">
      <c r="A21" s="266"/>
      <c r="B21" s="266"/>
    </row>
    <row r="22" spans="1:11" ht="46.5" thickTop="1" thickBot="1" x14ac:dyDescent="0.3">
      <c r="A22" s="267" t="s">
        <v>418</v>
      </c>
      <c r="B22" s="283" t="s">
        <v>419</v>
      </c>
      <c r="C22" s="268" t="s">
        <v>420</v>
      </c>
    </row>
    <row r="23" spans="1:11" ht="16.5" thickTop="1" thickBot="1" x14ac:dyDescent="0.3">
      <c r="A23" s="258" t="s">
        <v>517</v>
      </c>
      <c r="B23" s="284">
        <v>0</v>
      </c>
      <c r="C23" s="281">
        <v>0</v>
      </c>
    </row>
    <row r="24" spans="1:11" ht="16.5" thickTop="1" thickBot="1" x14ac:dyDescent="0.3">
      <c r="A24" s="258" t="s">
        <v>421</v>
      </c>
      <c r="B24" s="284">
        <v>0</v>
      </c>
      <c r="C24" s="281">
        <v>4</v>
      </c>
    </row>
    <row r="25" spans="1:11" ht="16.5" thickTop="1" thickBot="1" x14ac:dyDescent="0.3">
      <c r="A25" s="258" t="s">
        <v>422</v>
      </c>
      <c r="B25" s="284">
        <v>1</v>
      </c>
      <c r="C25" s="281">
        <v>0</v>
      </c>
    </row>
    <row r="26" spans="1:11" ht="16.5" thickTop="1" thickBot="1" x14ac:dyDescent="0.3">
      <c r="A26" s="258" t="s">
        <v>423</v>
      </c>
      <c r="B26" s="284">
        <v>2</v>
      </c>
      <c r="C26" s="281">
        <v>0</v>
      </c>
    </row>
    <row r="27" spans="1:11" ht="16.5" thickTop="1" thickBot="1" x14ac:dyDescent="0.3">
      <c r="A27" s="258" t="s">
        <v>424</v>
      </c>
      <c r="B27" s="284">
        <v>0</v>
      </c>
      <c r="C27" s="281">
        <v>0</v>
      </c>
    </row>
    <row r="28" spans="1:11" ht="16.5" thickTop="1" thickBot="1" x14ac:dyDescent="0.3">
      <c r="A28" s="280" t="s">
        <v>425</v>
      </c>
      <c r="B28" s="284">
        <v>4</v>
      </c>
      <c r="C28" s="282">
        <v>4</v>
      </c>
    </row>
    <row r="29" spans="1:11" ht="15.75" thickTop="1" x14ac:dyDescent="0.25">
      <c r="A29" s="266"/>
      <c r="B29" s="266"/>
      <c r="C29" s="266"/>
    </row>
    <row r="30" spans="1:11" ht="15.75" thickBot="1" x14ac:dyDescent="0.3">
      <c r="A30" s="266"/>
      <c r="B30" s="266"/>
    </row>
    <row r="31" spans="1:11" ht="28.5" customHeight="1" thickTop="1" x14ac:dyDescent="0.25">
      <c r="A31" s="267" t="s">
        <v>613</v>
      </c>
      <c r="B31" s="285"/>
      <c r="C31" s="286"/>
      <c r="D31" s="286"/>
      <c r="E31" s="286"/>
      <c r="F31" s="287"/>
    </row>
    <row r="32" spans="1:11" x14ac:dyDescent="0.25">
      <c r="A32" s="783"/>
      <c r="B32" s="777" t="s">
        <v>42</v>
      </c>
      <c r="C32" s="777" t="s">
        <v>162</v>
      </c>
      <c r="D32" s="777" t="s">
        <v>163</v>
      </c>
      <c r="E32" s="777" t="s">
        <v>164</v>
      </c>
      <c r="F32" s="778" t="s">
        <v>165</v>
      </c>
    </row>
    <row r="33" spans="1:10" x14ac:dyDescent="0.25">
      <c r="A33" s="783"/>
      <c r="B33" s="786"/>
      <c r="C33" s="777"/>
      <c r="D33" s="777"/>
      <c r="E33" s="777"/>
      <c r="F33" s="778"/>
    </row>
    <row r="34" spans="1:10" x14ac:dyDescent="0.25">
      <c r="A34" s="387" t="s">
        <v>294</v>
      </c>
      <c r="B34" s="391">
        <v>21</v>
      </c>
      <c r="C34" s="392">
        <v>19</v>
      </c>
      <c r="D34" s="386">
        <v>2</v>
      </c>
      <c r="E34" s="386"/>
      <c r="F34" s="388"/>
    </row>
    <row r="35" spans="1:10" x14ac:dyDescent="0.25">
      <c r="A35" s="387" t="s">
        <v>295</v>
      </c>
      <c r="B35" s="391">
        <v>3</v>
      </c>
      <c r="C35" s="392"/>
      <c r="D35" s="386">
        <v>3</v>
      </c>
      <c r="E35" s="386">
        <v>0</v>
      </c>
      <c r="F35" s="388">
        <v>0</v>
      </c>
    </row>
    <row r="36" spans="1:10" x14ac:dyDescent="0.25">
      <c r="A36" s="393" t="s">
        <v>511</v>
      </c>
      <c r="B36" s="392">
        <v>0</v>
      </c>
      <c r="C36" s="392">
        <v>0</v>
      </c>
      <c r="D36" s="386">
        <v>0</v>
      </c>
      <c r="E36" s="386">
        <v>0</v>
      </c>
      <c r="F36" s="388">
        <v>0</v>
      </c>
    </row>
    <row r="37" spans="1:10" x14ac:dyDescent="0.25">
      <c r="A37" s="393" t="s">
        <v>170</v>
      </c>
      <c r="B37" s="386">
        <v>0</v>
      </c>
      <c r="C37" s="392">
        <v>0</v>
      </c>
      <c r="D37" s="386">
        <v>0</v>
      </c>
      <c r="E37" s="386">
        <v>0</v>
      </c>
      <c r="F37" s="388">
        <v>0</v>
      </c>
    </row>
    <row r="38" spans="1:10" ht="15.75" thickBot="1" x14ac:dyDescent="0.3">
      <c r="A38" s="387" t="s">
        <v>296</v>
      </c>
      <c r="B38" s="386">
        <v>24</v>
      </c>
      <c r="C38" s="392">
        <v>19</v>
      </c>
      <c r="D38" s="386">
        <v>5</v>
      </c>
      <c r="E38" s="386">
        <v>0</v>
      </c>
      <c r="F38" s="388">
        <v>0</v>
      </c>
    </row>
    <row r="39" spans="1:10" ht="31.5" thickTop="1" thickBot="1" x14ac:dyDescent="0.3">
      <c r="A39" s="270" t="s">
        <v>297</v>
      </c>
      <c r="B39" s="284">
        <v>23</v>
      </c>
      <c r="C39" s="291">
        <v>18</v>
      </c>
      <c r="D39" s="292">
        <v>5</v>
      </c>
      <c r="E39" s="292">
        <v>0</v>
      </c>
      <c r="F39" s="293">
        <v>0</v>
      </c>
    </row>
    <row r="40" spans="1:10" ht="15.75" thickTop="1" x14ac:dyDescent="0.25">
      <c r="A40" s="266"/>
      <c r="B40" s="266"/>
      <c r="C40" s="266"/>
      <c r="D40" s="266"/>
      <c r="E40" s="266"/>
      <c r="F40" s="266"/>
    </row>
    <row r="41" spans="1:10" ht="15.75" thickBot="1" x14ac:dyDescent="0.3">
      <c r="A41" s="266"/>
      <c r="B41" s="266"/>
    </row>
    <row r="42" spans="1:10" ht="15.75" thickTop="1" x14ac:dyDescent="0.25">
      <c r="A42" s="267" t="s">
        <v>614</v>
      </c>
      <c r="B42" s="285"/>
      <c r="C42" s="286"/>
      <c r="D42" s="286"/>
      <c r="E42" s="286"/>
      <c r="F42" s="287"/>
      <c r="G42" s="254"/>
      <c r="H42" s="254"/>
      <c r="I42" s="254"/>
      <c r="J42" s="254"/>
    </row>
    <row r="43" spans="1:10" x14ac:dyDescent="0.25">
      <c r="A43" s="779"/>
      <c r="B43" s="780" t="s">
        <v>42</v>
      </c>
      <c r="C43" s="780" t="s">
        <v>162</v>
      </c>
      <c r="D43" s="780" t="s">
        <v>163</v>
      </c>
      <c r="E43" s="780" t="s">
        <v>164</v>
      </c>
      <c r="F43" s="782" t="s">
        <v>165</v>
      </c>
    </row>
    <row r="44" spans="1:10" ht="15.75" thickBot="1" x14ac:dyDescent="0.3">
      <c r="A44" s="779"/>
      <c r="B44" s="781"/>
      <c r="C44" s="780"/>
      <c r="D44" s="780"/>
      <c r="E44" s="780"/>
      <c r="F44" s="782"/>
    </row>
    <row r="45" spans="1:10" ht="16.5" thickTop="1" thickBot="1" x14ac:dyDescent="0.3">
      <c r="A45" s="269" t="s">
        <v>83</v>
      </c>
      <c r="B45" s="284">
        <v>20</v>
      </c>
      <c r="C45" s="288">
        <v>18</v>
      </c>
      <c r="D45" s="289">
        <v>2</v>
      </c>
      <c r="E45" s="289">
        <v>0</v>
      </c>
      <c r="F45" s="290">
        <v>0</v>
      </c>
    </row>
    <row r="46" spans="1:10" ht="31.5" thickTop="1" thickBot="1" x14ac:dyDescent="0.3">
      <c r="A46" s="270" t="s">
        <v>293</v>
      </c>
      <c r="B46" s="284">
        <v>19</v>
      </c>
      <c r="C46" s="291">
        <v>17</v>
      </c>
      <c r="D46" s="292">
        <v>2</v>
      </c>
      <c r="E46" s="292">
        <v>0</v>
      </c>
      <c r="F46" s="293">
        <v>0</v>
      </c>
    </row>
    <row r="47" spans="1:10" ht="15.75" thickTop="1" x14ac:dyDescent="0.25">
      <c r="A47" s="266"/>
      <c r="B47" s="266"/>
      <c r="C47" s="266"/>
      <c r="D47" s="266"/>
      <c r="E47" s="266"/>
      <c r="F47" s="266"/>
    </row>
    <row r="48" spans="1:10" x14ac:dyDescent="0.25">
      <c r="A48" s="266"/>
      <c r="B48" s="266"/>
      <c r="C48" s="266"/>
      <c r="D48" s="266"/>
      <c r="E48" s="266"/>
      <c r="F48" s="266"/>
    </row>
    <row r="49" spans="1:8" ht="15.75" thickBot="1" x14ac:dyDescent="0.3">
      <c r="A49" s="266"/>
      <c r="B49" s="266"/>
      <c r="C49" s="266"/>
      <c r="D49" s="266"/>
      <c r="E49" s="266"/>
      <c r="F49" s="266"/>
    </row>
    <row r="50" spans="1:8" ht="30.75" thickTop="1" x14ac:dyDescent="0.25">
      <c r="A50" s="267" t="s">
        <v>615</v>
      </c>
      <c r="B50" s="294"/>
      <c r="C50" s="295"/>
      <c r="D50" s="295"/>
      <c r="E50" s="295"/>
      <c r="F50" s="296"/>
    </row>
    <row r="51" spans="1:8" x14ac:dyDescent="0.25">
      <c r="A51" s="779"/>
      <c r="B51" s="780" t="s">
        <v>42</v>
      </c>
      <c r="C51" s="780" t="s">
        <v>162</v>
      </c>
      <c r="D51" s="780" t="s">
        <v>163</v>
      </c>
      <c r="E51" s="780" t="s">
        <v>164</v>
      </c>
      <c r="F51" s="782" t="s">
        <v>165</v>
      </c>
    </row>
    <row r="52" spans="1:8" ht="15.75" thickBot="1" x14ac:dyDescent="0.3">
      <c r="A52" s="779"/>
      <c r="B52" s="781"/>
      <c r="C52" s="780"/>
      <c r="D52" s="780"/>
      <c r="E52" s="780"/>
      <c r="F52" s="782"/>
    </row>
    <row r="53" spans="1:8" s="253" customFormat="1" ht="16.5" thickTop="1" thickBot="1" x14ac:dyDescent="0.3">
      <c r="A53" s="269" t="s">
        <v>166</v>
      </c>
      <c r="B53" s="284">
        <v>17</v>
      </c>
      <c r="C53" s="288">
        <v>16</v>
      </c>
      <c r="D53" s="289">
        <v>1</v>
      </c>
      <c r="E53" s="289">
        <v>0</v>
      </c>
      <c r="F53" s="290">
        <v>0</v>
      </c>
    </row>
    <row r="54" spans="1:8" s="253" customFormat="1" ht="16.5" thickTop="1" thickBot="1" x14ac:dyDescent="0.3">
      <c r="A54" s="269" t="s">
        <v>167</v>
      </c>
      <c r="B54" s="284">
        <v>15</v>
      </c>
      <c r="C54" s="288">
        <v>13</v>
      </c>
      <c r="D54" s="289">
        <v>2</v>
      </c>
      <c r="E54" s="289">
        <v>0</v>
      </c>
      <c r="F54" s="290">
        <v>0</v>
      </c>
    </row>
    <row r="55" spans="1:8" s="253" customFormat="1" ht="16.5" thickTop="1" thickBot="1" x14ac:dyDescent="0.3">
      <c r="A55" s="269" t="s">
        <v>168</v>
      </c>
      <c r="B55" s="284">
        <v>15</v>
      </c>
      <c r="C55" s="288">
        <v>13</v>
      </c>
      <c r="D55" s="289">
        <v>2</v>
      </c>
      <c r="E55" s="289">
        <v>0</v>
      </c>
      <c r="F55" s="290">
        <v>0</v>
      </c>
    </row>
    <row r="56" spans="1:8" s="253" customFormat="1" ht="16.5" thickTop="1" thickBot="1" x14ac:dyDescent="0.3">
      <c r="A56" s="271" t="s">
        <v>169</v>
      </c>
      <c r="B56" s="284">
        <v>5</v>
      </c>
      <c r="C56" s="297">
        <v>15</v>
      </c>
      <c r="D56" s="298">
        <v>0</v>
      </c>
      <c r="E56" s="298">
        <v>0</v>
      </c>
      <c r="F56" s="299">
        <v>0</v>
      </c>
    </row>
    <row r="57" spans="1:8" s="253" customFormat="1" ht="15.75" thickTop="1" x14ac:dyDescent="0.25">
      <c r="A57" s="266"/>
      <c r="B57" s="266"/>
      <c r="C57" s="266"/>
      <c r="D57" s="266"/>
      <c r="E57" s="266"/>
      <c r="F57" s="266"/>
    </row>
    <row r="58" spans="1:8" s="253" customFormat="1" ht="15.75" thickBot="1" x14ac:dyDescent="0.3">
      <c r="A58" s="254"/>
      <c r="B58" s="254"/>
      <c r="C58" s="254"/>
      <c r="D58" s="254"/>
      <c r="E58" s="254"/>
      <c r="F58" s="254"/>
      <c r="G58" s="254"/>
      <c r="H58" s="254"/>
    </row>
    <row r="59" spans="1:8" s="253" customFormat="1" ht="15.75" thickTop="1" x14ac:dyDescent="0.25">
      <c r="A59" s="267" t="s">
        <v>426</v>
      </c>
      <c r="B59" s="285"/>
      <c r="C59" s="286"/>
      <c r="D59" s="286"/>
      <c r="E59" s="286"/>
      <c r="F59" s="287"/>
      <c r="G59" s="254"/>
      <c r="H59" s="254"/>
    </row>
    <row r="60" spans="1:8" s="253" customFormat="1" x14ac:dyDescent="0.25">
      <c r="A60" s="783"/>
      <c r="B60" s="777" t="s">
        <v>42</v>
      </c>
      <c r="C60" s="777" t="s">
        <v>162</v>
      </c>
      <c r="D60" s="777" t="s">
        <v>163</v>
      </c>
      <c r="E60" s="777" t="s">
        <v>164</v>
      </c>
      <c r="F60" s="778" t="s">
        <v>165</v>
      </c>
      <c r="G60" s="254"/>
      <c r="H60" s="254"/>
    </row>
    <row r="61" spans="1:8" s="253" customFormat="1" x14ac:dyDescent="0.25">
      <c r="A61" s="783"/>
      <c r="B61" s="777"/>
      <c r="C61" s="777"/>
      <c r="D61" s="777"/>
      <c r="E61" s="777"/>
      <c r="F61" s="778"/>
      <c r="G61" s="254"/>
      <c r="H61" s="254"/>
    </row>
    <row r="62" spans="1:8" s="253" customFormat="1" x14ac:dyDescent="0.25">
      <c r="A62" s="380" t="s">
        <v>427</v>
      </c>
      <c r="B62" s="381">
        <v>1</v>
      </c>
      <c r="C62" s="381"/>
      <c r="D62" s="381">
        <v>1</v>
      </c>
      <c r="E62" s="386">
        <v>0</v>
      </c>
      <c r="F62" s="388">
        <v>0</v>
      </c>
      <c r="G62" s="254"/>
      <c r="H62" s="254"/>
    </row>
    <row r="63" spans="1:8" s="253" customFormat="1" x14ac:dyDescent="0.25">
      <c r="A63" s="383" t="s">
        <v>428</v>
      </c>
      <c r="B63" s="381">
        <v>2</v>
      </c>
      <c r="C63" s="381"/>
      <c r="D63" s="381">
        <v>2</v>
      </c>
      <c r="E63" s="386">
        <v>0</v>
      </c>
      <c r="F63" s="388">
        <v>0</v>
      </c>
      <c r="G63" s="254"/>
      <c r="H63" s="254"/>
    </row>
    <row r="64" spans="1:8" s="253" customFormat="1" ht="15.75" thickBot="1" x14ac:dyDescent="0.3">
      <c r="A64" s="383" t="s">
        <v>429</v>
      </c>
      <c r="B64" s="381">
        <v>0</v>
      </c>
      <c r="C64" s="381"/>
      <c r="D64" s="381">
        <v>0</v>
      </c>
      <c r="E64" s="386">
        <v>0</v>
      </c>
      <c r="F64" s="388">
        <v>0</v>
      </c>
      <c r="G64" s="254"/>
      <c r="H64" s="254"/>
    </row>
    <row r="65" spans="1:8" s="253" customFormat="1" ht="16.5" thickTop="1" thickBot="1" x14ac:dyDescent="0.3">
      <c r="A65" s="383" t="s">
        <v>430</v>
      </c>
      <c r="B65" s="284">
        <v>1</v>
      </c>
      <c r="C65" s="381">
        <v>1</v>
      </c>
      <c r="D65" s="381">
        <v>0</v>
      </c>
      <c r="E65" s="386">
        <v>0</v>
      </c>
      <c r="F65" s="388">
        <v>0</v>
      </c>
      <c r="G65" s="254"/>
      <c r="H65" s="254"/>
    </row>
    <row r="66" spans="1:8" s="253" customFormat="1" ht="15.75" thickTop="1" x14ac:dyDescent="0.25">
      <c r="A66" s="383" t="s">
        <v>431</v>
      </c>
      <c r="B66" s="381">
        <v>4</v>
      </c>
      <c r="C66" s="381">
        <v>3</v>
      </c>
      <c r="D66" s="381">
        <v>1</v>
      </c>
      <c r="E66" s="386">
        <v>0</v>
      </c>
      <c r="F66" s="388">
        <v>0</v>
      </c>
      <c r="G66" s="254"/>
      <c r="H66" s="254"/>
    </row>
    <row r="67" spans="1:8" s="253" customFormat="1" x14ac:dyDescent="0.25">
      <c r="A67" s="383" t="s">
        <v>432</v>
      </c>
      <c r="B67" s="381">
        <v>7</v>
      </c>
      <c r="C67" s="381">
        <v>6</v>
      </c>
      <c r="D67" s="381">
        <v>1</v>
      </c>
      <c r="E67" s="386">
        <v>0</v>
      </c>
      <c r="F67" s="388">
        <v>0</v>
      </c>
      <c r="G67" s="254"/>
      <c r="H67" s="254"/>
    </row>
    <row r="68" spans="1:8" s="253" customFormat="1" ht="15.75" thickBot="1" x14ac:dyDescent="0.3">
      <c r="A68" s="383" t="s">
        <v>433</v>
      </c>
      <c r="B68" s="381">
        <v>4</v>
      </c>
      <c r="C68" s="381">
        <v>4</v>
      </c>
      <c r="D68" s="381">
        <v>0</v>
      </c>
      <c r="E68" s="386">
        <v>0</v>
      </c>
      <c r="F68" s="388">
        <v>0</v>
      </c>
      <c r="G68" s="254"/>
      <c r="H68" s="254"/>
    </row>
    <row r="69" spans="1:8" s="253" customFormat="1" ht="16.5" thickTop="1" thickBot="1" x14ac:dyDescent="0.3">
      <c r="A69" s="383" t="s">
        <v>544</v>
      </c>
      <c r="B69" s="284">
        <v>2</v>
      </c>
      <c r="C69" s="381">
        <v>2</v>
      </c>
      <c r="D69" s="381">
        <v>0</v>
      </c>
      <c r="E69" s="386">
        <v>0</v>
      </c>
      <c r="F69" s="388">
        <v>0</v>
      </c>
      <c r="G69" s="254"/>
      <c r="H69" s="254"/>
    </row>
    <row r="70" spans="1:8" s="253" customFormat="1" ht="16.5" thickTop="1" thickBot="1" x14ac:dyDescent="0.3">
      <c r="A70" s="383" t="s">
        <v>545</v>
      </c>
      <c r="B70" s="284">
        <v>3</v>
      </c>
      <c r="C70" s="381">
        <v>3</v>
      </c>
      <c r="D70" s="381">
        <v>0</v>
      </c>
      <c r="E70" s="386">
        <v>0</v>
      </c>
      <c r="F70" s="388">
        <v>0</v>
      </c>
      <c r="G70" s="254"/>
      <c r="H70" s="254"/>
    </row>
    <row r="71" spans="1:8" s="253" customFormat="1" ht="16.5" thickTop="1" thickBot="1" x14ac:dyDescent="0.3">
      <c r="A71" s="383" t="s">
        <v>511</v>
      </c>
      <c r="B71" s="284">
        <v>0</v>
      </c>
      <c r="C71" s="381">
        <v>0</v>
      </c>
      <c r="D71" s="381">
        <v>0</v>
      </c>
      <c r="E71" s="386">
        <v>0</v>
      </c>
      <c r="F71" s="388">
        <v>0</v>
      </c>
      <c r="G71" s="254"/>
      <c r="H71" s="254"/>
    </row>
    <row r="72" spans="1:8" s="253" customFormat="1" ht="15.75" thickTop="1" x14ac:dyDescent="0.25">
      <c r="A72" s="383" t="s">
        <v>170</v>
      </c>
      <c r="B72" s="381">
        <v>0</v>
      </c>
      <c r="C72" s="381">
        <v>0</v>
      </c>
      <c r="D72" s="381">
        <v>0</v>
      </c>
      <c r="E72" s="386">
        <v>0</v>
      </c>
      <c r="F72" s="388">
        <v>0</v>
      </c>
      <c r="G72" s="254"/>
      <c r="H72" s="254"/>
    </row>
    <row r="73" spans="1:8" s="253" customFormat="1" ht="15.75" thickBot="1" x14ac:dyDescent="0.3">
      <c r="A73" s="384" t="s">
        <v>42</v>
      </c>
      <c r="B73" s="385">
        <v>24</v>
      </c>
      <c r="C73" s="385">
        <v>19</v>
      </c>
      <c r="D73" s="385">
        <v>5</v>
      </c>
      <c r="E73" s="389">
        <v>0</v>
      </c>
      <c r="F73" s="390">
        <v>0</v>
      </c>
      <c r="G73" s="254"/>
      <c r="H73" s="254"/>
    </row>
    <row r="74" spans="1:8" s="253" customFormat="1" ht="15.75" thickTop="1" x14ac:dyDescent="0.25">
      <c r="A74" s="377"/>
      <c r="B74" s="378"/>
      <c r="C74" s="378"/>
      <c r="D74" s="378"/>
      <c r="E74" s="378"/>
      <c r="F74" s="378"/>
      <c r="G74" s="254"/>
      <c r="H74" s="254"/>
    </row>
    <row r="75" spans="1:8" s="253" customFormat="1" ht="15.75" thickBot="1" x14ac:dyDescent="0.3">
      <c r="A75" s="377"/>
      <c r="B75" s="378"/>
      <c r="C75" s="378"/>
      <c r="D75" s="378"/>
      <c r="E75" s="378"/>
      <c r="F75" s="378"/>
      <c r="G75" s="254"/>
      <c r="H75" s="254"/>
    </row>
    <row r="76" spans="1:8" s="253" customFormat="1" ht="15.75" thickTop="1" x14ac:dyDescent="0.25">
      <c r="A76" s="267" t="s">
        <v>505</v>
      </c>
      <c r="B76" s="285"/>
      <c r="C76" s="286"/>
      <c r="D76" s="286"/>
      <c r="E76" s="286"/>
      <c r="F76" s="286"/>
      <c r="G76" s="287"/>
      <c r="H76" s="254"/>
    </row>
    <row r="77" spans="1:8" s="253" customFormat="1" x14ac:dyDescent="0.25">
      <c r="A77" s="783"/>
      <c r="B77" s="777" t="s">
        <v>514</v>
      </c>
      <c r="C77" s="777" t="s">
        <v>162</v>
      </c>
      <c r="D77" s="777" t="s">
        <v>515</v>
      </c>
      <c r="E77" s="777" t="s">
        <v>516</v>
      </c>
      <c r="F77" s="777" t="s">
        <v>164</v>
      </c>
      <c r="G77" s="778" t="s">
        <v>165</v>
      </c>
      <c r="H77" s="254"/>
    </row>
    <row r="78" spans="1:8" s="253" customFormat="1" ht="30" customHeight="1" x14ac:dyDescent="0.25">
      <c r="A78" s="783"/>
      <c r="B78" s="777"/>
      <c r="C78" s="777"/>
      <c r="D78" s="777"/>
      <c r="E78" s="777"/>
      <c r="F78" s="777"/>
      <c r="G78" s="778"/>
      <c r="H78" s="254"/>
    </row>
    <row r="79" spans="1:8" s="253" customFormat="1" ht="16.5" customHeight="1" x14ac:dyDescent="0.25">
      <c r="A79" s="380" t="s">
        <v>518</v>
      </c>
      <c r="B79" s="381">
        <v>2</v>
      </c>
      <c r="C79" s="381">
        <v>0</v>
      </c>
      <c r="D79" s="381">
        <v>0</v>
      </c>
      <c r="E79" s="381">
        <v>2</v>
      </c>
      <c r="F79" s="381">
        <v>0</v>
      </c>
      <c r="G79" s="382">
        <v>0</v>
      </c>
      <c r="H79" s="254"/>
    </row>
    <row r="80" spans="1:8" s="253" customFormat="1" ht="15.75" thickBot="1" x14ac:dyDescent="0.3">
      <c r="A80" s="380" t="s">
        <v>506</v>
      </c>
      <c r="B80" s="381">
        <v>8</v>
      </c>
      <c r="C80" s="381">
        <v>5</v>
      </c>
      <c r="D80" s="381">
        <v>2</v>
      </c>
      <c r="E80" s="381">
        <v>1</v>
      </c>
      <c r="F80" s="381">
        <v>0</v>
      </c>
      <c r="G80" s="382">
        <v>0</v>
      </c>
      <c r="H80" s="254"/>
    </row>
    <row r="81" spans="1:10" s="253" customFormat="1" ht="16.5" thickTop="1" thickBot="1" x14ac:dyDescent="0.3">
      <c r="A81" s="383" t="s">
        <v>507</v>
      </c>
      <c r="B81" s="381">
        <v>10</v>
      </c>
      <c r="C81" s="284">
        <v>10</v>
      </c>
      <c r="D81" s="284">
        <v>0</v>
      </c>
      <c r="E81" s="381">
        <v>0</v>
      </c>
      <c r="F81" s="381">
        <v>0</v>
      </c>
      <c r="G81" s="382">
        <v>0</v>
      </c>
      <c r="H81" s="254"/>
    </row>
    <row r="82" spans="1:10" s="253" customFormat="1" ht="16.5" thickTop="1" thickBot="1" x14ac:dyDescent="0.3">
      <c r="A82" s="383" t="s">
        <v>508</v>
      </c>
      <c r="B82" s="381">
        <v>4</v>
      </c>
      <c r="C82" s="284">
        <v>4</v>
      </c>
      <c r="D82" s="284">
        <v>0</v>
      </c>
      <c r="E82" s="381">
        <v>0</v>
      </c>
      <c r="F82" s="381">
        <v>0</v>
      </c>
      <c r="G82" s="382">
        <v>0</v>
      </c>
      <c r="H82" s="254"/>
    </row>
    <row r="83" spans="1:10" s="253" customFormat="1" ht="16.5" thickTop="1" thickBot="1" x14ac:dyDescent="0.3">
      <c r="A83" s="383" t="s">
        <v>509</v>
      </c>
      <c r="B83" s="381">
        <v>0</v>
      </c>
      <c r="C83" s="381">
        <v>0</v>
      </c>
      <c r="D83" s="381">
        <v>0</v>
      </c>
      <c r="E83" s="381">
        <v>0</v>
      </c>
      <c r="F83" s="381">
        <v>0</v>
      </c>
      <c r="G83" s="382">
        <v>0</v>
      </c>
      <c r="H83" s="254"/>
    </row>
    <row r="84" spans="1:10" s="253" customFormat="1" ht="16.5" thickTop="1" thickBot="1" x14ac:dyDescent="0.3">
      <c r="A84" s="383" t="s">
        <v>510</v>
      </c>
      <c r="B84" s="381">
        <v>0</v>
      </c>
      <c r="C84" s="284">
        <v>0</v>
      </c>
      <c r="D84" s="284">
        <v>0</v>
      </c>
      <c r="E84" s="381">
        <v>0</v>
      </c>
      <c r="F84" s="381">
        <v>0</v>
      </c>
      <c r="G84" s="382">
        <v>0</v>
      </c>
      <c r="H84" s="254"/>
    </row>
    <row r="85" spans="1:10" s="253" customFormat="1" ht="16.5" thickTop="1" thickBot="1" x14ac:dyDescent="0.3">
      <c r="A85" s="383" t="s">
        <v>170</v>
      </c>
      <c r="B85" s="381">
        <v>0</v>
      </c>
      <c r="C85" s="381">
        <v>0</v>
      </c>
      <c r="D85" s="381">
        <v>0</v>
      </c>
      <c r="E85" s="381">
        <v>0</v>
      </c>
      <c r="F85" s="381">
        <v>0</v>
      </c>
      <c r="G85" s="382">
        <v>0</v>
      </c>
      <c r="H85" s="254"/>
    </row>
    <row r="86" spans="1:10" s="253" customFormat="1" ht="16.5" thickTop="1" thickBot="1" x14ac:dyDescent="0.3">
      <c r="A86" s="384" t="s">
        <v>42</v>
      </c>
      <c r="B86" s="385">
        <v>24</v>
      </c>
      <c r="C86" s="284">
        <v>19</v>
      </c>
      <c r="D86" s="284">
        <v>2</v>
      </c>
      <c r="E86" s="385">
        <v>3</v>
      </c>
      <c r="F86" s="385">
        <v>0</v>
      </c>
      <c r="G86" s="487">
        <v>0</v>
      </c>
      <c r="H86" s="254"/>
    </row>
    <row r="87" spans="1:10" s="253" customFormat="1" ht="15.75" thickTop="1" x14ac:dyDescent="0.25">
      <c r="A87" s="377"/>
      <c r="B87" s="378"/>
      <c r="C87" s="378"/>
      <c r="D87" s="378"/>
      <c r="E87" s="378"/>
      <c r="F87" s="378"/>
      <c r="G87" s="254"/>
      <c r="H87" s="254"/>
    </row>
    <row r="88" spans="1:10" ht="15.75" thickBot="1" x14ac:dyDescent="0.3">
      <c r="A88" s="266"/>
      <c r="B88" s="266"/>
      <c r="C88" s="266"/>
      <c r="D88" s="266"/>
      <c r="E88" s="266"/>
      <c r="F88" s="266"/>
      <c r="G88" s="266"/>
      <c r="H88" s="266"/>
    </row>
    <row r="89" spans="1:10" ht="29.45" customHeight="1" thickTop="1" x14ac:dyDescent="0.25">
      <c r="A89" s="267" t="s">
        <v>354</v>
      </c>
      <c r="B89" s="300"/>
      <c r="C89" s="300"/>
      <c r="D89" s="300"/>
      <c r="E89" s="300"/>
      <c r="F89" s="301"/>
      <c r="G89" s="266"/>
      <c r="H89" s="266"/>
    </row>
    <row r="90" spans="1:10" ht="23.1" customHeight="1" x14ac:dyDescent="0.25">
      <c r="A90" s="379" t="s">
        <v>355</v>
      </c>
      <c r="B90" s="395"/>
      <c r="C90" s="395"/>
      <c r="D90" s="395"/>
      <c r="E90" s="395"/>
      <c r="F90" s="396"/>
      <c r="G90" s="266"/>
      <c r="H90" s="266"/>
    </row>
    <row r="91" spans="1:10" ht="34.5" customHeight="1" thickBot="1" x14ac:dyDescent="0.3">
      <c r="A91" s="397"/>
      <c r="B91" s="398" t="s">
        <v>42</v>
      </c>
      <c r="C91" s="398" t="s">
        <v>162</v>
      </c>
      <c r="D91" s="398" t="s">
        <v>163</v>
      </c>
      <c r="E91" s="398" t="s">
        <v>164</v>
      </c>
      <c r="F91" s="399" t="s">
        <v>165</v>
      </c>
      <c r="I91" s="254"/>
      <c r="J91" s="254"/>
    </row>
    <row r="92" spans="1:10" ht="15" customHeight="1" thickTop="1" thickBot="1" x14ac:dyDescent="0.3">
      <c r="A92" s="387" t="s">
        <v>96</v>
      </c>
      <c r="B92" s="394">
        <v>1</v>
      </c>
      <c r="C92" s="400">
        <v>0</v>
      </c>
      <c r="D92" s="400">
        <v>1</v>
      </c>
      <c r="E92" s="400">
        <v>0</v>
      </c>
      <c r="F92" s="401">
        <v>0</v>
      </c>
      <c r="I92" s="254"/>
      <c r="J92" s="254"/>
    </row>
    <row r="93" spans="1:10" ht="16.5" thickTop="1" thickBot="1" x14ac:dyDescent="0.3">
      <c r="A93" s="387" t="s">
        <v>97</v>
      </c>
      <c r="B93" s="400">
        <v>20</v>
      </c>
      <c r="C93" s="400">
        <v>19</v>
      </c>
      <c r="D93" s="400">
        <v>1</v>
      </c>
      <c r="E93" s="400">
        <v>0</v>
      </c>
      <c r="F93" s="401">
        <v>0</v>
      </c>
      <c r="I93" s="254"/>
      <c r="J93" s="254"/>
    </row>
    <row r="94" spans="1:10" ht="16.5" thickTop="1" thickBot="1" x14ac:dyDescent="0.3">
      <c r="A94" s="387" t="s">
        <v>512</v>
      </c>
      <c r="B94" s="394">
        <v>0</v>
      </c>
      <c r="C94" s="400">
        <v>0</v>
      </c>
      <c r="D94" s="400">
        <v>0</v>
      </c>
      <c r="E94" s="400">
        <v>0</v>
      </c>
      <c r="F94" s="401">
        <v>0</v>
      </c>
      <c r="I94" s="254"/>
      <c r="J94" s="254"/>
    </row>
    <row r="95" spans="1:10" ht="16.5" thickTop="1" thickBot="1" x14ac:dyDescent="0.3">
      <c r="A95" s="387" t="s">
        <v>170</v>
      </c>
      <c r="B95" s="400">
        <v>0</v>
      </c>
      <c r="C95" s="400">
        <v>0</v>
      </c>
      <c r="D95" s="400">
        <v>0</v>
      </c>
      <c r="E95" s="400">
        <v>0</v>
      </c>
      <c r="F95" s="401">
        <v>0</v>
      </c>
      <c r="I95" s="254"/>
      <c r="J95" s="254"/>
    </row>
    <row r="96" spans="1:10" ht="16.5" thickTop="1" thickBot="1" x14ac:dyDescent="0.3">
      <c r="A96" s="402" t="s">
        <v>42</v>
      </c>
      <c r="B96" s="394">
        <v>21</v>
      </c>
      <c r="C96" s="403">
        <v>19</v>
      </c>
      <c r="D96" s="403">
        <v>2</v>
      </c>
      <c r="E96" s="403">
        <v>0</v>
      </c>
      <c r="F96" s="404">
        <v>0</v>
      </c>
      <c r="I96" s="254"/>
      <c r="J96" s="254"/>
    </row>
    <row r="97" spans="1:10" ht="15.75" thickTop="1" x14ac:dyDescent="0.25">
      <c r="A97" s="266"/>
      <c r="B97" s="266"/>
      <c r="C97" s="266"/>
      <c r="D97" s="266"/>
      <c r="E97" s="266"/>
      <c r="F97" s="266"/>
      <c r="I97" s="254"/>
      <c r="J97" s="254"/>
    </row>
    <row r="98" spans="1:10" ht="15.75" thickBot="1" x14ac:dyDescent="0.3">
      <c r="A98" s="266"/>
      <c r="B98" s="266"/>
      <c r="C98" s="266"/>
      <c r="D98" s="266"/>
      <c r="E98" s="266"/>
      <c r="F98" s="266"/>
      <c r="G98" s="266"/>
      <c r="H98" s="266"/>
    </row>
    <row r="99" spans="1:10" ht="29.45" customHeight="1" thickTop="1" x14ac:dyDescent="0.25">
      <c r="A99" s="267" t="s">
        <v>171</v>
      </c>
      <c r="B99" s="294"/>
      <c r="C99" s="295"/>
      <c r="D99" s="295"/>
      <c r="E99" s="295"/>
      <c r="F99" s="296"/>
    </row>
    <row r="100" spans="1:10" x14ac:dyDescent="0.25">
      <c r="A100" s="783"/>
      <c r="B100" s="777" t="s">
        <v>42</v>
      </c>
      <c r="C100" s="777" t="s">
        <v>162</v>
      </c>
      <c r="D100" s="777" t="s">
        <v>163</v>
      </c>
      <c r="E100" s="777" t="s">
        <v>164</v>
      </c>
      <c r="F100" s="778" t="s">
        <v>165</v>
      </c>
    </row>
    <row r="101" spans="1:10" s="253" customFormat="1" x14ac:dyDescent="0.25">
      <c r="A101" s="783"/>
      <c r="B101" s="777"/>
      <c r="C101" s="777"/>
      <c r="D101" s="777"/>
      <c r="E101" s="777"/>
      <c r="F101" s="778"/>
    </row>
    <row r="102" spans="1:10" s="253" customFormat="1" ht="15.75" thickBot="1" x14ac:dyDescent="0.3">
      <c r="A102" s="793" t="s">
        <v>172</v>
      </c>
      <c r="B102" s="794"/>
      <c r="C102" s="794"/>
      <c r="D102" s="794"/>
      <c r="E102" s="794"/>
      <c r="F102" s="795"/>
    </row>
    <row r="103" spans="1:10" s="253" customFormat="1" ht="16.5" thickTop="1" thickBot="1" x14ac:dyDescent="0.3">
      <c r="A103" s="387" t="s">
        <v>617</v>
      </c>
      <c r="B103" s="394">
        <v>1</v>
      </c>
      <c r="C103" s="386">
        <v>1</v>
      </c>
      <c r="D103" s="386">
        <v>0</v>
      </c>
      <c r="E103" s="386">
        <v>0</v>
      </c>
      <c r="F103" s="388">
        <v>0</v>
      </c>
    </row>
    <row r="104" spans="1:10" s="253" customFormat="1" ht="30.75" thickTop="1" x14ac:dyDescent="0.25">
      <c r="A104" s="405" t="s">
        <v>519</v>
      </c>
      <c r="B104" s="496">
        <v>15</v>
      </c>
      <c r="C104" s="488">
        <v>13</v>
      </c>
      <c r="D104" s="386">
        <v>2</v>
      </c>
      <c r="E104" s="386">
        <v>0</v>
      </c>
      <c r="F104" s="388">
        <v>0</v>
      </c>
    </row>
    <row r="105" spans="1:10" s="253" customFormat="1" ht="15.75" thickBot="1" x14ac:dyDescent="0.3">
      <c r="A105" s="405" t="s">
        <v>174</v>
      </c>
      <c r="B105" s="498">
        <v>0</v>
      </c>
      <c r="C105" s="488">
        <v>0</v>
      </c>
      <c r="D105" s="386">
        <v>0</v>
      </c>
      <c r="E105" s="386">
        <v>0</v>
      </c>
      <c r="F105" s="388">
        <v>0</v>
      </c>
    </row>
    <row r="106" spans="1:10" s="253" customFormat="1" ht="16.5" thickTop="1" thickBot="1" x14ac:dyDescent="0.3">
      <c r="A106" s="494" t="s">
        <v>176</v>
      </c>
      <c r="B106" s="394">
        <v>16</v>
      </c>
      <c r="C106" s="495">
        <v>14</v>
      </c>
      <c r="D106" s="408">
        <v>2</v>
      </c>
      <c r="E106" s="408">
        <v>0</v>
      </c>
      <c r="F106" s="409">
        <v>0</v>
      </c>
    </row>
    <row r="107" spans="1:10" s="253" customFormat="1" ht="15.75" thickTop="1" x14ac:dyDescent="0.25">
      <c r="A107" s="793" t="s">
        <v>520</v>
      </c>
      <c r="B107" s="796"/>
      <c r="C107" s="794"/>
      <c r="D107" s="794"/>
      <c r="E107" s="794"/>
      <c r="F107" s="795"/>
    </row>
    <row r="108" spans="1:10" s="253" customFormat="1" x14ac:dyDescent="0.25">
      <c r="A108" s="387" t="s">
        <v>180</v>
      </c>
      <c r="B108" s="308">
        <v>0</v>
      </c>
      <c r="C108" s="308">
        <v>0</v>
      </c>
      <c r="D108" s="308">
        <v>0</v>
      </c>
      <c r="E108" s="308">
        <v>0</v>
      </c>
      <c r="F108" s="309">
        <v>0</v>
      </c>
    </row>
    <row r="109" spans="1:10" s="253" customFormat="1" ht="15" customHeight="1" x14ac:dyDescent="0.25">
      <c r="A109" s="387" t="s">
        <v>179</v>
      </c>
      <c r="B109" s="308">
        <v>0</v>
      </c>
      <c r="C109" s="308">
        <v>0</v>
      </c>
      <c r="D109" s="308">
        <v>0</v>
      </c>
      <c r="E109" s="308">
        <v>0</v>
      </c>
      <c r="F109" s="309">
        <v>0</v>
      </c>
    </row>
    <row r="110" spans="1:10" s="253" customFormat="1" x14ac:dyDescent="0.25">
      <c r="A110" s="387" t="s">
        <v>253</v>
      </c>
      <c r="B110" s="308">
        <v>0</v>
      </c>
      <c r="C110" s="308">
        <v>0</v>
      </c>
      <c r="D110" s="308">
        <v>0</v>
      </c>
      <c r="E110" s="308">
        <v>0</v>
      </c>
      <c r="F110" s="309">
        <v>0</v>
      </c>
    </row>
    <row r="111" spans="1:10" s="253" customFormat="1" x14ac:dyDescent="0.25">
      <c r="A111" s="387" t="s">
        <v>181</v>
      </c>
      <c r="B111" s="308">
        <v>0</v>
      </c>
      <c r="C111" s="308">
        <v>0</v>
      </c>
      <c r="D111" s="308">
        <v>0</v>
      </c>
      <c r="E111" s="308">
        <v>0</v>
      </c>
      <c r="F111" s="309">
        <v>0</v>
      </c>
    </row>
    <row r="112" spans="1:10" s="253" customFormat="1" x14ac:dyDescent="0.25">
      <c r="A112" s="387" t="s">
        <v>177</v>
      </c>
      <c r="B112" s="308">
        <v>0</v>
      </c>
      <c r="C112" s="308">
        <v>0</v>
      </c>
      <c r="D112" s="308">
        <v>0</v>
      </c>
      <c r="E112" s="308">
        <v>0</v>
      </c>
      <c r="F112" s="309">
        <v>0</v>
      </c>
    </row>
    <row r="113" spans="1:6" s="253" customFormat="1" x14ac:dyDescent="0.25">
      <c r="A113" s="387" t="s">
        <v>178</v>
      </c>
      <c r="B113" s="308">
        <v>0</v>
      </c>
      <c r="C113" s="308">
        <v>0</v>
      </c>
      <c r="D113" s="308">
        <v>0</v>
      </c>
      <c r="E113" s="308">
        <v>0</v>
      </c>
      <c r="F113" s="309">
        <v>0</v>
      </c>
    </row>
    <row r="114" spans="1:6" s="253" customFormat="1" x14ac:dyDescent="0.25">
      <c r="A114" s="406" t="s">
        <v>176</v>
      </c>
      <c r="B114" s="407">
        <v>0</v>
      </c>
      <c r="C114" s="407">
        <v>0</v>
      </c>
      <c r="D114" s="407">
        <v>0</v>
      </c>
      <c r="E114" s="407">
        <v>0</v>
      </c>
      <c r="F114" s="410">
        <v>0</v>
      </c>
    </row>
    <row r="115" spans="1:6" s="253" customFormat="1" x14ac:dyDescent="0.25">
      <c r="A115" s="793" t="s">
        <v>521</v>
      </c>
      <c r="B115" s="794"/>
      <c r="C115" s="794"/>
      <c r="D115" s="794"/>
      <c r="E115" s="794"/>
      <c r="F115" s="795"/>
    </row>
    <row r="116" spans="1:6" s="253" customFormat="1" ht="42" customHeight="1" x14ac:dyDescent="0.25">
      <c r="A116" s="387" t="s">
        <v>173</v>
      </c>
      <c r="B116" s="308">
        <v>5</v>
      </c>
      <c r="C116" s="386">
        <v>5</v>
      </c>
      <c r="D116" s="386">
        <v>0</v>
      </c>
      <c r="E116" s="386">
        <v>0</v>
      </c>
      <c r="F116" s="388">
        <v>0</v>
      </c>
    </row>
    <row r="117" spans="1:6" s="253" customFormat="1" ht="31.5" customHeight="1" x14ac:dyDescent="0.25">
      <c r="A117" s="387" t="s">
        <v>182</v>
      </c>
      <c r="B117" s="308">
        <v>0</v>
      </c>
      <c r="C117" s="308">
        <v>0</v>
      </c>
      <c r="D117" s="308">
        <v>0</v>
      </c>
      <c r="E117" s="308">
        <v>0</v>
      </c>
      <c r="F117" s="309">
        <v>0</v>
      </c>
    </row>
    <row r="118" spans="1:6" s="253" customFormat="1" ht="30" x14ac:dyDescent="0.25">
      <c r="A118" s="387" t="s">
        <v>186</v>
      </c>
      <c r="B118" s="308">
        <v>0</v>
      </c>
      <c r="C118" s="308">
        <v>0</v>
      </c>
      <c r="D118" s="308">
        <v>0</v>
      </c>
      <c r="E118" s="308">
        <v>0</v>
      </c>
      <c r="F118" s="309">
        <v>0</v>
      </c>
    </row>
    <row r="119" spans="1:6" s="253" customFormat="1" ht="27" customHeight="1" x14ac:dyDescent="0.25">
      <c r="A119" s="387" t="s">
        <v>175</v>
      </c>
      <c r="B119" s="308">
        <v>0</v>
      </c>
      <c r="C119" s="308">
        <v>0</v>
      </c>
      <c r="D119" s="308">
        <v>0</v>
      </c>
      <c r="E119" s="308">
        <v>0</v>
      </c>
      <c r="F119" s="309">
        <v>0</v>
      </c>
    </row>
    <row r="120" spans="1:6" s="253" customFormat="1" ht="28.5" customHeight="1" x14ac:dyDescent="0.25">
      <c r="A120" s="387" t="s">
        <v>522</v>
      </c>
      <c r="B120" s="308">
        <v>0</v>
      </c>
      <c r="C120" s="308">
        <v>0</v>
      </c>
      <c r="D120" s="308">
        <v>0</v>
      </c>
      <c r="E120" s="308">
        <v>0</v>
      </c>
      <c r="F120" s="309">
        <v>0</v>
      </c>
    </row>
    <row r="121" spans="1:6" s="253" customFormat="1" ht="30" x14ac:dyDescent="0.25">
      <c r="A121" s="387" t="s">
        <v>523</v>
      </c>
      <c r="B121" s="308">
        <v>0</v>
      </c>
      <c r="C121" s="308">
        <v>0</v>
      </c>
      <c r="D121" s="308">
        <v>0</v>
      </c>
      <c r="E121" s="308">
        <v>0</v>
      </c>
      <c r="F121" s="309">
        <v>0</v>
      </c>
    </row>
    <row r="122" spans="1:6" s="253" customFormat="1" ht="18.75" customHeight="1" x14ac:dyDescent="0.25">
      <c r="A122" s="406" t="s">
        <v>176</v>
      </c>
      <c r="B122" s="407">
        <v>5</v>
      </c>
      <c r="C122" s="408">
        <v>5</v>
      </c>
      <c r="D122" s="408">
        <v>0</v>
      </c>
      <c r="E122" s="408">
        <v>0</v>
      </c>
      <c r="F122" s="409">
        <v>0</v>
      </c>
    </row>
    <row r="123" spans="1:6" s="253" customFormat="1" x14ac:dyDescent="0.25">
      <c r="A123" s="793" t="s">
        <v>524</v>
      </c>
      <c r="B123" s="794"/>
      <c r="C123" s="794"/>
      <c r="D123" s="794"/>
      <c r="E123" s="794"/>
      <c r="F123" s="795"/>
    </row>
    <row r="124" spans="1:6" s="253" customFormat="1" x14ac:dyDescent="0.25">
      <c r="A124" s="405" t="s">
        <v>185</v>
      </c>
      <c r="B124" s="486">
        <v>0</v>
      </c>
      <c r="C124" s="489">
        <v>0</v>
      </c>
      <c r="D124" s="308">
        <v>0</v>
      </c>
      <c r="E124" s="308">
        <v>0</v>
      </c>
      <c r="F124" s="309">
        <v>0</v>
      </c>
    </row>
    <row r="125" spans="1:6" s="253" customFormat="1" x14ac:dyDescent="0.25">
      <c r="A125" s="405" t="s">
        <v>525</v>
      </c>
      <c r="B125" s="486">
        <v>0</v>
      </c>
      <c r="C125" s="489">
        <v>0</v>
      </c>
      <c r="D125" s="308">
        <v>0</v>
      </c>
      <c r="E125" s="308">
        <v>0</v>
      </c>
      <c r="F125" s="309">
        <v>0</v>
      </c>
    </row>
    <row r="126" spans="1:6" s="253" customFormat="1" x14ac:dyDescent="0.25">
      <c r="A126" s="405" t="s">
        <v>184</v>
      </c>
      <c r="B126" s="486">
        <v>0</v>
      </c>
      <c r="C126" s="489">
        <v>0</v>
      </c>
      <c r="D126" s="308">
        <v>0</v>
      </c>
      <c r="E126" s="308">
        <v>0</v>
      </c>
      <c r="F126" s="309">
        <v>0</v>
      </c>
    </row>
    <row r="127" spans="1:6" s="253" customFormat="1" x14ac:dyDescent="0.25">
      <c r="A127" s="405" t="s">
        <v>183</v>
      </c>
      <c r="B127" s="486">
        <v>0</v>
      </c>
      <c r="C127" s="489">
        <v>0</v>
      </c>
      <c r="D127" s="308">
        <v>0</v>
      </c>
      <c r="E127" s="308">
        <v>0</v>
      </c>
      <c r="F127" s="309">
        <v>0</v>
      </c>
    </row>
    <row r="128" spans="1:6" s="253" customFormat="1" x14ac:dyDescent="0.25">
      <c r="A128" s="494" t="s">
        <v>176</v>
      </c>
      <c r="B128" s="499">
        <v>0</v>
      </c>
      <c r="C128" s="491">
        <v>0</v>
      </c>
      <c r="D128" s="407">
        <v>0</v>
      </c>
      <c r="E128" s="407">
        <v>0</v>
      </c>
      <c r="F128" s="410">
        <v>0</v>
      </c>
    </row>
    <row r="129" spans="1:6" s="253" customFormat="1" x14ac:dyDescent="0.25">
      <c r="A129" s="405" t="s">
        <v>616</v>
      </c>
      <c r="B129" s="497"/>
      <c r="C129" s="489"/>
      <c r="D129" s="308"/>
      <c r="E129" s="308"/>
      <c r="F129" s="309"/>
    </row>
    <row r="130" spans="1:6" s="253" customFormat="1" ht="15.75" thickBot="1" x14ac:dyDescent="0.3">
      <c r="A130" s="405" t="s">
        <v>170</v>
      </c>
      <c r="B130" s="500"/>
      <c r="C130" s="489">
        <v>0</v>
      </c>
      <c r="D130" s="308">
        <v>0</v>
      </c>
      <c r="E130" s="308">
        <v>0</v>
      </c>
      <c r="F130" s="309">
        <v>0</v>
      </c>
    </row>
    <row r="131" spans="1:6" s="253" customFormat="1" ht="16.5" thickTop="1" thickBot="1" x14ac:dyDescent="0.3">
      <c r="A131" s="494" t="s">
        <v>176</v>
      </c>
      <c r="B131" s="501">
        <v>0</v>
      </c>
      <c r="C131" s="491">
        <v>0</v>
      </c>
      <c r="D131" s="407">
        <v>0</v>
      </c>
      <c r="E131" s="407">
        <v>0</v>
      </c>
      <c r="F131" s="410">
        <v>0</v>
      </c>
    </row>
    <row r="132" spans="1:6" s="253" customFormat="1" ht="18" customHeight="1" thickTop="1" thickBot="1" x14ac:dyDescent="0.3">
      <c r="A132" s="492" t="s">
        <v>42</v>
      </c>
      <c r="B132" s="490">
        <v>21</v>
      </c>
      <c r="C132" s="493">
        <v>19</v>
      </c>
      <c r="D132" s="411">
        <v>2</v>
      </c>
      <c r="E132" s="411">
        <v>0</v>
      </c>
      <c r="F132" s="412">
        <v>0</v>
      </c>
    </row>
    <row r="133" spans="1:6" s="253" customFormat="1" ht="15.75" thickTop="1" x14ac:dyDescent="0.25">
      <c r="A133" s="266"/>
      <c r="B133" s="266"/>
      <c r="C133" s="266"/>
      <c r="D133" s="266"/>
      <c r="E133" s="266"/>
      <c r="F133" s="266"/>
    </row>
    <row r="134" spans="1:6" s="253" customFormat="1" ht="15.75" thickBot="1" x14ac:dyDescent="0.3">
      <c r="A134" s="275"/>
    </row>
    <row r="135" spans="1:6" s="253" customFormat="1" ht="30.75" thickTop="1" x14ac:dyDescent="0.25">
      <c r="A135" s="267" t="s">
        <v>187</v>
      </c>
      <c r="B135" s="294"/>
      <c r="C135" s="295"/>
      <c r="D135" s="296"/>
    </row>
    <row r="136" spans="1:6" x14ac:dyDescent="0.25">
      <c r="A136" s="784"/>
      <c r="B136" s="785" t="s">
        <v>188</v>
      </c>
      <c r="C136" s="785" t="s">
        <v>189</v>
      </c>
      <c r="D136" s="787" t="s">
        <v>190</v>
      </c>
    </row>
    <row r="137" spans="1:6" x14ac:dyDescent="0.25">
      <c r="A137" s="784"/>
      <c r="B137" s="785"/>
      <c r="C137" s="785"/>
      <c r="D137" s="787"/>
    </row>
    <row r="138" spans="1:6" ht="15.75" thickBot="1" x14ac:dyDescent="0.3">
      <c r="A138" s="784"/>
      <c r="B138" s="785"/>
      <c r="C138" s="786"/>
      <c r="D138" s="788"/>
    </row>
    <row r="139" spans="1:6" ht="31.5" thickTop="1" thickBot="1" x14ac:dyDescent="0.3">
      <c r="A139" s="261" t="s">
        <v>191</v>
      </c>
      <c r="B139" s="482">
        <v>11</v>
      </c>
      <c r="C139" s="284">
        <v>6</v>
      </c>
      <c r="D139" s="284">
        <v>2</v>
      </c>
    </row>
    <row r="140" spans="1:6" ht="16.5" thickTop="1" thickBot="1" x14ac:dyDescent="0.3">
      <c r="A140" s="261" t="s">
        <v>192</v>
      </c>
      <c r="B140" s="307">
        <v>7</v>
      </c>
      <c r="C140" s="484">
        <v>4</v>
      </c>
      <c r="D140" s="317">
        <v>4</v>
      </c>
    </row>
    <row r="141" spans="1:6" ht="16.5" thickTop="1" thickBot="1" x14ac:dyDescent="0.3">
      <c r="A141" s="261" t="s">
        <v>193</v>
      </c>
      <c r="B141" s="483">
        <v>1</v>
      </c>
      <c r="C141" s="284">
        <v>0</v>
      </c>
      <c r="D141" s="284">
        <v>0</v>
      </c>
    </row>
    <row r="142" spans="1:6" ht="16.5" thickTop="1" thickBot="1" x14ac:dyDescent="0.3">
      <c r="A142" s="258" t="s">
        <v>194</v>
      </c>
      <c r="B142" s="308">
        <v>2</v>
      </c>
      <c r="C142" s="484">
        <v>2</v>
      </c>
      <c r="D142" s="317">
        <v>0</v>
      </c>
    </row>
    <row r="143" spans="1:6" ht="31.5" thickTop="1" thickBot="1" x14ac:dyDescent="0.3">
      <c r="A143" s="258" t="s">
        <v>513</v>
      </c>
      <c r="B143" s="482">
        <v>0</v>
      </c>
      <c r="C143" s="284">
        <v>0</v>
      </c>
      <c r="D143" s="284">
        <v>0</v>
      </c>
    </row>
    <row r="144" spans="1:6" ht="16.5" thickTop="1" thickBot="1" x14ac:dyDescent="0.3">
      <c r="A144" s="258" t="s">
        <v>195</v>
      </c>
      <c r="B144" s="310">
        <v>0</v>
      </c>
      <c r="C144" s="311">
        <v>0</v>
      </c>
      <c r="D144" s="312">
        <v>0</v>
      </c>
    </row>
    <row r="145" spans="1:10" ht="31.5" thickTop="1" thickBot="1" x14ac:dyDescent="0.3">
      <c r="A145" s="258" t="s">
        <v>196</v>
      </c>
      <c r="B145" s="313"/>
      <c r="C145" s="284">
        <v>3</v>
      </c>
      <c r="D145" s="314"/>
    </row>
    <row r="146" spans="1:10" ht="31.5" thickTop="1" thickBot="1" x14ac:dyDescent="0.3">
      <c r="A146" s="258" t="s">
        <v>197</v>
      </c>
      <c r="B146" s="308"/>
      <c r="C146" s="311">
        <v>0</v>
      </c>
      <c r="D146" s="309"/>
    </row>
    <row r="147" spans="1:10" ht="16.5" thickTop="1" thickBot="1" x14ac:dyDescent="0.3">
      <c r="A147" s="258" t="s">
        <v>198</v>
      </c>
      <c r="B147" s="485">
        <v>21</v>
      </c>
      <c r="C147" s="284">
        <v>15</v>
      </c>
      <c r="D147" s="284">
        <v>6</v>
      </c>
    </row>
    <row r="148" spans="1:10" ht="16.5" thickTop="1" thickBot="1" x14ac:dyDescent="0.3">
      <c r="A148" s="261" t="s">
        <v>199</v>
      </c>
      <c r="B148" s="310">
        <v>19</v>
      </c>
      <c r="C148" s="284">
        <v>10</v>
      </c>
      <c r="D148" s="284">
        <v>6</v>
      </c>
    </row>
    <row r="149" spans="1:10" ht="31.5" thickTop="1" thickBot="1" x14ac:dyDescent="0.3">
      <c r="A149" s="263" t="s">
        <v>200</v>
      </c>
      <c r="B149" s="315"/>
      <c r="C149" s="315">
        <v>12</v>
      </c>
      <c r="D149" s="265">
        <v>6</v>
      </c>
    </row>
    <row r="150" spans="1:10" ht="15.75" thickTop="1" x14ac:dyDescent="0.25">
      <c r="A150" s="266"/>
      <c r="B150" s="266"/>
      <c r="C150" s="266"/>
      <c r="D150" s="266"/>
    </row>
    <row r="151" spans="1:10" ht="15.75" thickBot="1" x14ac:dyDescent="0.3">
      <c r="A151" s="266"/>
      <c r="B151" s="266"/>
      <c r="C151" s="266"/>
      <c r="D151" s="266"/>
    </row>
    <row r="152" spans="1:10" ht="30.75" thickTop="1" x14ac:dyDescent="0.25">
      <c r="A152" s="267" t="s">
        <v>201</v>
      </c>
      <c r="B152" s="294"/>
      <c r="C152" s="295"/>
      <c r="D152" s="295"/>
      <c r="E152" s="295"/>
      <c r="F152" s="295"/>
      <c r="G152" s="295"/>
      <c r="H152" s="295"/>
      <c r="I152" s="295"/>
      <c r="J152" s="296"/>
    </row>
    <row r="153" spans="1:10" x14ac:dyDescent="0.25">
      <c r="A153" s="783"/>
      <c r="B153" s="777" t="s">
        <v>202</v>
      </c>
      <c r="C153" s="777" t="s">
        <v>203</v>
      </c>
      <c r="D153" s="777" t="s">
        <v>204</v>
      </c>
      <c r="E153" s="777" t="s">
        <v>205</v>
      </c>
      <c r="F153" s="777" t="s">
        <v>206</v>
      </c>
      <c r="G153" s="777" t="s">
        <v>207</v>
      </c>
      <c r="H153" s="777" t="s">
        <v>208</v>
      </c>
      <c r="I153" s="777" t="s">
        <v>209</v>
      </c>
      <c r="J153" s="778" t="s">
        <v>210</v>
      </c>
    </row>
    <row r="154" spans="1:10" ht="107.25" customHeight="1" thickBot="1" x14ac:dyDescent="0.3">
      <c r="A154" s="783"/>
      <c r="B154" s="777"/>
      <c r="C154" s="777"/>
      <c r="D154" s="777"/>
      <c r="E154" s="777"/>
      <c r="F154" s="777"/>
      <c r="G154" s="777"/>
      <c r="H154" s="777"/>
      <c r="I154" s="777"/>
      <c r="J154" s="778"/>
    </row>
    <row r="155" spans="1:10" ht="31.5" thickTop="1" thickBot="1" x14ac:dyDescent="0.3">
      <c r="A155" s="387" t="s">
        <v>211</v>
      </c>
      <c r="B155" s="386">
        <v>2</v>
      </c>
      <c r="C155" s="386">
        <v>1</v>
      </c>
      <c r="D155" s="386">
        <v>0</v>
      </c>
      <c r="E155" s="386">
        <v>5</v>
      </c>
      <c r="F155" s="386">
        <v>0</v>
      </c>
      <c r="G155" s="386">
        <v>4</v>
      </c>
      <c r="H155" s="386">
        <v>12</v>
      </c>
      <c r="I155" s="284">
        <v>5</v>
      </c>
      <c r="J155" s="413">
        <v>0.41670000000000001</v>
      </c>
    </row>
    <row r="156" spans="1:10" ht="16.5" thickTop="1" thickBot="1" x14ac:dyDescent="0.3">
      <c r="A156" s="387" t="s">
        <v>212</v>
      </c>
      <c r="B156" s="386">
        <v>-782</v>
      </c>
      <c r="C156" s="386">
        <v>-584</v>
      </c>
      <c r="D156" s="386" t="s">
        <v>526</v>
      </c>
      <c r="E156" s="386">
        <v>828</v>
      </c>
      <c r="F156" s="386" t="s">
        <v>526</v>
      </c>
      <c r="G156" s="386" t="s">
        <v>526</v>
      </c>
      <c r="H156" s="386" t="s">
        <v>526</v>
      </c>
      <c r="I156" s="386">
        <v>828</v>
      </c>
      <c r="J156" s="388" t="s">
        <v>526</v>
      </c>
    </row>
    <row r="157" spans="1:10" ht="16.5" thickTop="1" thickBot="1" x14ac:dyDescent="0.3">
      <c r="A157" s="387" t="s">
        <v>213</v>
      </c>
      <c r="B157" s="386">
        <v>0</v>
      </c>
      <c r="C157" s="386">
        <v>0</v>
      </c>
      <c r="D157" s="386">
        <v>0</v>
      </c>
      <c r="E157" s="386">
        <v>2</v>
      </c>
      <c r="F157" s="386">
        <v>2</v>
      </c>
      <c r="G157" s="386">
        <v>8</v>
      </c>
      <c r="H157" s="386">
        <v>12</v>
      </c>
      <c r="I157" s="284">
        <v>4</v>
      </c>
      <c r="J157" s="413">
        <v>0.33329999999999999</v>
      </c>
    </row>
    <row r="158" spans="1:10" ht="15.75" thickTop="1" x14ac:dyDescent="0.25">
      <c r="A158" s="387" t="s">
        <v>214</v>
      </c>
      <c r="B158" s="386" t="s">
        <v>526</v>
      </c>
      <c r="C158" s="386" t="s">
        <v>526</v>
      </c>
      <c r="D158" s="386" t="s">
        <v>526</v>
      </c>
      <c r="E158" s="386">
        <v>238</v>
      </c>
      <c r="F158" s="386">
        <v>1070</v>
      </c>
      <c r="G158" s="386" t="s">
        <v>526</v>
      </c>
      <c r="H158" s="386" t="s">
        <v>526</v>
      </c>
      <c r="I158" s="308">
        <v>654</v>
      </c>
      <c r="J158" s="388" t="s">
        <v>526</v>
      </c>
    </row>
    <row r="159" spans="1:10" ht="26.45" customHeight="1" x14ac:dyDescent="0.25">
      <c r="A159" s="387" t="s">
        <v>215</v>
      </c>
      <c r="B159" s="386">
        <v>0</v>
      </c>
      <c r="C159" s="386">
        <v>1</v>
      </c>
      <c r="D159" s="386">
        <v>0</v>
      </c>
      <c r="E159" s="386">
        <v>9</v>
      </c>
      <c r="F159" s="386">
        <v>0</v>
      </c>
      <c r="G159" s="386">
        <v>2</v>
      </c>
      <c r="H159" s="316">
        <v>12</v>
      </c>
      <c r="I159" s="386">
        <v>9</v>
      </c>
      <c r="J159" s="414">
        <v>0.75</v>
      </c>
    </row>
    <row r="160" spans="1:10" ht="22.5" customHeight="1" thickBot="1" x14ac:dyDescent="0.3">
      <c r="A160" s="402" t="s">
        <v>216</v>
      </c>
      <c r="B160" s="389" t="s">
        <v>526</v>
      </c>
      <c r="C160" s="389">
        <v>-584</v>
      </c>
      <c r="D160" s="389" t="s">
        <v>526</v>
      </c>
      <c r="E160" s="389">
        <v>576.89</v>
      </c>
      <c r="F160" s="389" t="s">
        <v>526</v>
      </c>
      <c r="G160" s="389" t="s">
        <v>526</v>
      </c>
      <c r="H160" s="389">
        <v>384</v>
      </c>
      <c r="I160" s="292">
        <v>576.89</v>
      </c>
      <c r="J160" s="390" t="s">
        <v>526</v>
      </c>
    </row>
    <row r="161" spans="1:10" ht="15.75" thickTop="1" x14ac:dyDescent="0.25">
      <c r="A161" s="266"/>
      <c r="B161" s="266"/>
      <c r="C161" s="266"/>
      <c r="D161" s="266"/>
      <c r="E161" s="266"/>
      <c r="F161" s="266"/>
      <c r="G161" s="266"/>
      <c r="H161" s="266"/>
      <c r="I161" s="266"/>
      <c r="J161" s="266"/>
    </row>
    <row r="162" spans="1:10" ht="15.75" thickBot="1" x14ac:dyDescent="0.3">
      <c r="A162" s="266"/>
      <c r="B162" s="266"/>
      <c r="C162" s="266"/>
      <c r="D162" s="266"/>
      <c r="E162" s="266"/>
      <c r="F162" s="266"/>
      <c r="G162" s="266"/>
      <c r="H162" s="266"/>
      <c r="I162" s="266"/>
      <c r="J162" s="266"/>
    </row>
    <row r="163" spans="1:10" ht="30.75" thickTop="1" x14ac:dyDescent="0.25">
      <c r="A163" s="267" t="s">
        <v>217</v>
      </c>
      <c r="B163" s="294"/>
      <c r="C163" s="295"/>
      <c r="D163" s="295"/>
      <c r="E163" s="295"/>
      <c r="F163" s="295"/>
      <c r="G163" s="295"/>
      <c r="H163" s="295"/>
      <c r="I163" s="295"/>
      <c r="J163" s="296"/>
    </row>
    <row r="164" spans="1:10" x14ac:dyDescent="0.25">
      <c r="A164" s="783"/>
      <c r="B164" s="777" t="s">
        <v>218</v>
      </c>
      <c r="C164" s="777" t="s">
        <v>219</v>
      </c>
      <c r="D164" s="777" t="s">
        <v>220</v>
      </c>
      <c r="E164" s="777" t="s">
        <v>221</v>
      </c>
      <c r="F164" s="777" t="s">
        <v>222</v>
      </c>
      <c r="G164" s="777" t="s">
        <v>223</v>
      </c>
      <c r="H164" s="777" t="s">
        <v>208</v>
      </c>
      <c r="I164" s="777" t="s">
        <v>224</v>
      </c>
      <c r="J164" s="778" t="s">
        <v>210</v>
      </c>
    </row>
    <row r="165" spans="1:10" ht="15.75" thickBot="1" x14ac:dyDescent="0.3">
      <c r="A165" s="783"/>
      <c r="B165" s="777"/>
      <c r="C165" s="777"/>
      <c r="D165" s="777"/>
      <c r="E165" s="777"/>
      <c r="F165" s="777"/>
      <c r="G165" s="777"/>
      <c r="H165" s="777"/>
      <c r="I165" s="777"/>
      <c r="J165" s="778"/>
    </row>
    <row r="166" spans="1:10" ht="31.5" thickTop="1" thickBot="1" x14ac:dyDescent="0.3">
      <c r="A166" s="387" t="s">
        <v>211</v>
      </c>
      <c r="B166" s="386">
        <v>2</v>
      </c>
      <c r="C166" s="386">
        <v>1</v>
      </c>
      <c r="D166" s="386">
        <v>0</v>
      </c>
      <c r="E166" s="386">
        <v>0</v>
      </c>
      <c r="F166" s="386">
        <v>1</v>
      </c>
      <c r="G166" s="386">
        <v>2</v>
      </c>
      <c r="H166" s="386">
        <v>6</v>
      </c>
      <c r="I166" s="284">
        <v>1</v>
      </c>
      <c r="J166" s="413">
        <v>0.16669999999999999</v>
      </c>
    </row>
    <row r="167" spans="1:10" ht="16.5" thickTop="1" thickBot="1" x14ac:dyDescent="0.3">
      <c r="A167" s="387" t="s">
        <v>212</v>
      </c>
      <c r="B167" s="386">
        <v>-355</v>
      </c>
      <c r="C167" s="386">
        <v>-1535</v>
      </c>
      <c r="D167" s="386" t="s">
        <v>526</v>
      </c>
      <c r="E167" s="386" t="s">
        <v>526</v>
      </c>
      <c r="F167" s="386">
        <v>250</v>
      </c>
      <c r="G167" s="386" t="s">
        <v>526</v>
      </c>
      <c r="H167" s="386" t="s">
        <v>526</v>
      </c>
      <c r="I167" s="386">
        <v>250</v>
      </c>
      <c r="J167" s="388" t="s">
        <v>526</v>
      </c>
    </row>
    <row r="168" spans="1:10" ht="16.5" thickTop="1" thickBot="1" x14ac:dyDescent="0.3">
      <c r="A168" s="387" t="s">
        <v>213</v>
      </c>
      <c r="B168" s="386">
        <v>1</v>
      </c>
      <c r="C168" s="386">
        <v>2</v>
      </c>
      <c r="D168" s="386">
        <v>0</v>
      </c>
      <c r="E168" s="386">
        <v>1</v>
      </c>
      <c r="F168" s="386">
        <v>1</v>
      </c>
      <c r="G168" s="386">
        <v>1</v>
      </c>
      <c r="H168" s="386">
        <v>6</v>
      </c>
      <c r="I168" s="284">
        <v>2</v>
      </c>
      <c r="J168" s="413">
        <v>0.33329999999999999</v>
      </c>
    </row>
    <row r="169" spans="1:10" ht="15.75" thickTop="1" x14ac:dyDescent="0.25">
      <c r="A169" s="387" t="s">
        <v>214</v>
      </c>
      <c r="B169" s="386">
        <v>-75</v>
      </c>
      <c r="C169" s="386">
        <v>-29</v>
      </c>
      <c r="D169" s="386" t="s">
        <v>526</v>
      </c>
      <c r="E169" s="386">
        <v>766</v>
      </c>
      <c r="F169" s="386">
        <v>697</v>
      </c>
      <c r="G169" s="386" t="s">
        <v>526</v>
      </c>
      <c r="H169" s="386" t="s">
        <v>526</v>
      </c>
      <c r="I169" s="308">
        <v>731.5</v>
      </c>
      <c r="J169" s="388" t="s">
        <v>526</v>
      </c>
    </row>
    <row r="170" spans="1:10" ht="31.35" customHeight="1" x14ac:dyDescent="0.25">
      <c r="A170" s="387" t="s">
        <v>215</v>
      </c>
      <c r="B170" s="386">
        <v>0</v>
      </c>
      <c r="C170" s="386">
        <v>3</v>
      </c>
      <c r="D170" s="386">
        <v>0</v>
      </c>
      <c r="E170" s="386">
        <v>3</v>
      </c>
      <c r="F170" s="386">
        <v>0</v>
      </c>
      <c r="G170" s="386">
        <v>0</v>
      </c>
      <c r="H170" s="386">
        <v>6</v>
      </c>
      <c r="I170" s="386">
        <v>3</v>
      </c>
      <c r="J170" s="414">
        <v>0.5</v>
      </c>
    </row>
    <row r="171" spans="1:10" ht="31.35" customHeight="1" thickBot="1" x14ac:dyDescent="0.3">
      <c r="A171" s="402" t="s">
        <v>216</v>
      </c>
      <c r="B171" s="389" t="s">
        <v>526</v>
      </c>
      <c r="C171" s="389">
        <v>-731</v>
      </c>
      <c r="D171" s="389" t="s">
        <v>526</v>
      </c>
      <c r="E171" s="389">
        <v>509.33</v>
      </c>
      <c r="F171" s="389" t="s">
        <v>526</v>
      </c>
      <c r="G171" s="389" t="s">
        <v>526</v>
      </c>
      <c r="H171" s="389" t="s">
        <v>526</v>
      </c>
      <c r="I171" s="292">
        <v>509.33</v>
      </c>
      <c r="J171" s="390" t="s">
        <v>526</v>
      </c>
    </row>
    <row r="172" spans="1:10" ht="15.75" thickTop="1" x14ac:dyDescent="0.25">
      <c r="A172" s="266"/>
      <c r="B172" s="266"/>
      <c r="C172" s="266"/>
      <c r="D172" s="266"/>
      <c r="E172" s="266"/>
      <c r="F172" s="266"/>
      <c r="G172" s="266"/>
      <c r="H172" s="266"/>
      <c r="I172" s="266"/>
      <c r="J172" s="266"/>
    </row>
    <row r="173" spans="1:10" ht="15.75" thickBot="1" x14ac:dyDescent="0.3">
      <c r="A173" s="266"/>
      <c r="B173" s="266"/>
      <c r="C173" s="266"/>
      <c r="D173" s="266"/>
      <c r="E173" s="266"/>
      <c r="F173" s="266"/>
      <c r="G173" s="266"/>
      <c r="H173" s="266"/>
      <c r="I173" s="266"/>
      <c r="J173" s="266"/>
    </row>
    <row r="174" spans="1:10" ht="15.75" thickTop="1" x14ac:dyDescent="0.25">
      <c r="A174" s="267" t="s">
        <v>225</v>
      </c>
      <c r="B174" s="294"/>
      <c r="C174" s="295"/>
      <c r="D174" s="296"/>
    </row>
    <row r="175" spans="1:10" x14ac:dyDescent="0.25">
      <c r="A175" s="784"/>
      <c r="B175" s="785" t="s">
        <v>226</v>
      </c>
      <c r="C175" s="785" t="s">
        <v>227</v>
      </c>
      <c r="D175" s="787" t="s">
        <v>228</v>
      </c>
    </row>
    <row r="176" spans="1:10" x14ac:dyDescent="0.25">
      <c r="A176" s="784"/>
      <c r="B176" s="785"/>
      <c r="C176" s="785"/>
      <c r="D176" s="787"/>
    </row>
    <row r="177" spans="1:4" x14ac:dyDescent="0.25">
      <c r="A177" s="784"/>
      <c r="B177" s="785"/>
      <c r="C177" s="786"/>
      <c r="D177" s="788"/>
    </row>
    <row r="178" spans="1:4" ht="15.75" thickBot="1" x14ac:dyDescent="0.3">
      <c r="A178" s="261" t="s">
        <v>229</v>
      </c>
      <c r="B178" s="316">
        <v>5</v>
      </c>
      <c r="C178" s="308">
        <v>1</v>
      </c>
      <c r="D178" s="309">
        <v>2</v>
      </c>
    </row>
    <row r="179" spans="1:4" s="253" customFormat="1" ht="16.5" thickTop="1" thickBot="1" x14ac:dyDescent="0.3">
      <c r="A179" s="261" t="s">
        <v>230</v>
      </c>
      <c r="B179" s="316">
        <v>16</v>
      </c>
      <c r="C179" s="284">
        <v>11</v>
      </c>
      <c r="D179" s="284">
        <v>4</v>
      </c>
    </row>
    <row r="180" spans="1:4" s="253" customFormat="1" ht="16.5" thickTop="1" thickBot="1" x14ac:dyDescent="0.3">
      <c r="A180" s="261" t="s">
        <v>511</v>
      </c>
      <c r="B180" s="316">
        <v>0</v>
      </c>
      <c r="C180" s="284">
        <v>0</v>
      </c>
      <c r="D180" s="284">
        <v>0</v>
      </c>
    </row>
    <row r="181" spans="1:4" s="253" customFormat="1" ht="16.5" thickTop="1" thickBot="1" x14ac:dyDescent="0.3">
      <c r="A181" s="261" t="s">
        <v>170</v>
      </c>
      <c r="B181" s="316">
        <v>0</v>
      </c>
      <c r="C181" s="311">
        <v>3</v>
      </c>
      <c r="D181" s="317">
        <v>0</v>
      </c>
    </row>
    <row r="182" spans="1:4" s="253" customFormat="1" ht="16.5" thickTop="1" thickBot="1" x14ac:dyDescent="0.3">
      <c r="A182" s="263" t="s">
        <v>42</v>
      </c>
      <c r="B182" s="318">
        <v>21</v>
      </c>
      <c r="C182" s="284">
        <v>15</v>
      </c>
      <c r="D182" s="284">
        <v>6</v>
      </c>
    </row>
    <row r="183" spans="1:4" s="253" customFormat="1" ht="15.75" thickTop="1" x14ac:dyDescent="0.25">
      <c r="A183" s="266"/>
      <c r="B183" s="266"/>
      <c r="C183" s="266"/>
      <c r="D183" s="266"/>
    </row>
    <row r="184" spans="1:4" s="253" customFormat="1" ht="15.75" thickBot="1" x14ac:dyDescent="0.3">
      <c r="A184" s="266"/>
      <c r="B184" s="266"/>
      <c r="C184" s="266"/>
      <c r="D184" s="266"/>
    </row>
    <row r="185" spans="1:4" s="253" customFormat="1" ht="15.75" thickTop="1" x14ac:dyDescent="0.25">
      <c r="A185" s="267" t="s">
        <v>232</v>
      </c>
      <c r="B185" s="294"/>
      <c r="C185" s="295"/>
      <c r="D185" s="296"/>
    </row>
    <row r="186" spans="1:4" s="253" customFormat="1" x14ac:dyDescent="0.25">
      <c r="A186" s="779"/>
      <c r="B186" s="780" t="s">
        <v>42</v>
      </c>
      <c r="C186" s="780" t="s">
        <v>233</v>
      </c>
      <c r="D186" s="782" t="s">
        <v>234</v>
      </c>
    </row>
    <row r="187" spans="1:4" s="253" customFormat="1" ht="15.75" thickBot="1" x14ac:dyDescent="0.3">
      <c r="A187" s="779"/>
      <c r="B187" s="781"/>
      <c r="C187" s="780"/>
      <c r="D187" s="782"/>
    </row>
    <row r="188" spans="1:4" s="253" customFormat="1" ht="16.5" thickTop="1" thickBot="1" x14ac:dyDescent="0.3">
      <c r="A188" s="269" t="s">
        <v>235</v>
      </c>
      <c r="B188" s="284">
        <v>0</v>
      </c>
      <c r="C188" s="288">
        <v>0</v>
      </c>
      <c r="D188" s="290">
        <v>0</v>
      </c>
    </row>
    <row r="189" spans="1:4" s="253" customFormat="1" ht="16.5" thickTop="1" thickBot="1" x14ac:dyDescent="0.3">
      <c r="A189" s="269" t="s">
        <v>236</v>
      </c>
      <c r="B189" s="284">
        <v>0</v>
      </c>
      <c r="C189" s="288">
        <v>0</v>
      </c>
      <c r="D189" s="290">
        <v>0</v>
      </c>
    </row>
    <row r="190" spans="1:4" s="253" customFormat="1" ht="16.5" thickTop="1" thickBot="1" x14ac:dyDescent="0.3">
      <c r="A190" s="269" t="s">
        <v>237</v>
      </c>
      <c r="B190" s="284">
        <v>0</v>
      </c>
      <c r="C190" s="288">
        <v>0</v>
      </c>
      <c r="D190" s="290">
        <v>0</v>
      </c>
    </row>
    <row r="191" spans="1:4" s="253" customFormat="1" ht="16.5" thickTop="1" thickBot="1" x14ac:dyDescent="0.3">
      <c r="A191" s="269" t="s">
        <v>238</v>
      </c>
      <c r="B191" s="284">
        <v>1</v>
      </c>
      <c r="C191" s="288">
        <v>0</v>
      </c>
      <c r="D191" s="290">
        <v>1</v>
      </c>
    </row>
    <row r="192" spans="1:4" s="253" customFormat="1" ht="15.75" thickTop="1" x14ac:dyDescent="0.25">
      <c r="A192" s="269" t="s">
        <v>239</v>
      </c>
      <c r="B192" s="289">
        <v>7</v>
      </c>
      <c r="C192" s="288">
        <v>4</v>
      </c>
      <c r="D192" s="290">
        <v>3</v>
      </c>
    </row>
    <row r="193" spans="1:8" s="253" customFormat="1" x14ac:dyDescent="0.25">
      <c r="A193" s="274" t="s">
        <v>240</v>
      </c>
      <c r="B193" s="306">
        <v>1</v>
      </c>
      <c r="C193" s="289">
        <v>0</v>
      </c>
      <c r="D193" s="290">
        <v>1</v>
      </c>
    </row>
    <row r="194" spans="1:8" s="253" customFormat="1" x14ac:dyDescent="0.25">
      <c r="A194" s="274" t="s">
        <v>241</v>
      </c>
      <c r="B194" s="289">
        <v>2</v>
      </c>
      <c r="C194" s="289">
        <v>0</v>
      </c>
      <c r="D194" s="290">
        <v>2</v>
      </c>
    </row>
    <row r="195" spans="1:8" s="253" customFormat="1" x14ac:dyDescent="0.25">
      <c r="A195" s="274" t="s">
        <v>242</v>
      </c>
      <c r="B195" s="289">
        <v>4</v>
      </c>
      <c r="C195" s="289">
        <v>1</v>
      </c>
      <c r="D195" s="290">
        <v>3</v>
      </c>
    </row>
    <row r="196" spans="1:8" s="253" customFormat="1" x14ac:dyDescent="0.25">
      <c r="A196" s="274" t="s">
        <v>243</v>
      </c>
      <c r="B196" s="289">
        <v>1</v>
      </c>
      <c r="C196" s="289">
        <v>0</v>
      </c>
      <c r="D196" s="290">
        <v>1</v>
      </c>
    </row>
    <row r="197" spans="1:8" s="253" customFormat="1" ht="15.75" thickBot="1" x14ac:dyDescent="0.3">
      <c r="A197" s="274" t="s">
        <v>244</v>
      </c>
      <c r="B197" s="289">
        <v>8</v>
      </c>
      <c r="C197" s="289">
        <v>3</v>
      </c>
      <c r="D197" s="290">
        <v>5</v>
      </c>
    </row>
    <row r="198" spans="1:8" s="253" customFormat="1" ht="16.5" thickTop="1" thickBot="1" x14ac:dyDescent="0.3">
      <c r="A198" s="276" t="s">
        <v>42</v>
      </c>
      <c r="B198" s="284">
        <v>24</v>
      </c>
      <c r="C198" s="319">
        <v>8</v>
      </c>
      <c r="D198" s="284">
        <v>16</v>
      </c>
    </row>
    <row r="199" spans="1:8" s="253" customFormat="1" ht="15.75" thickTop="1" x14ac:dyDescent="0.25">
      <c r="A199" s="266"/>
      <c r="B199" s="266"/>
      <c r="C199" s="266"/>
      <c r="D199" s="266"/>
    </row>
    <row r="200" spans="1:8" s="253" customFormat="1" ht="15.75" thickBot="1" x14ac:dyDescent="0.3">
      <c r="A200" s="266"/>
      <c r="B200" s="266"/>
      <c r="C200" s="266"/>
      <c r="D200" s="266"/>
      <c r="E200" s="266"/>
      <c r="F200" s="266"/>
    </row>
    <row r="201" spans="1:8" s="253" customFormat="1" ht="30.75" thickTop="1" x14ac:dyDescent="0.25">
      <c r="A201" s="267" t="s">
        <v>320</v>
      </c>
      <c r="B201" s="294"/>
      <c r="C201" s="295"/>
      <c r="D201" s="295"/>
      <c r="E201" s="295"/>
      <c r="F201" s="296"/>
    </row>
    <row r="202" spans="1:8" s="134" customFormat="1" x14ac:dyDescent="0.25">
      <c r="A202" s="783" t="s">
        <v>321</v>
      </c>
      <c r="B202" s="777" t="s">
        <v>42</v>
      </c>
      <c r="C202" s="777" t="s">
        <v>162</v>
      </c>
      <c r="D202" s="777" t="s">
        <v>322</v>
      </c>
      <c r="E202" s="777" t="s">
        <v>164</v>
      </c>
      <c r="F202" s="778" t="s">
        <v>323</v>
      </c>
      <c r="G202" s="135"/>
      <c r="H202" s="135"/>
    </row>
    <row r="203" spans="1:8" s="134" customFormat="1" x14ac:dyDescent="0.25">
      <c r="A203" s="783"/>
      <c r="B203" s="777"/>
      <c r="C203" s="777"/>
      <c r="D203" s="777"/>
      <c r="E203" s="777"/>
      <c r="F203" s="778"/>
      <c r="G203" s="136"/>
      <c r="H203" s="136"/>
    </row>
    <row r="204" spans="1:8" s="134" customFormat="1" x14ac:dyDescent="0.25">
      <c r="A204" s="387" t="s">
        <v>324</v>
      </c>
      <c r="B204" s="386">
        <v>4</v>
      </c>
      <c r="C204" s="386">
        <v>2</v>
      </c>
      <c r="D204" s="386">
        <v>2</v>
      </c>
      <c r="E204" s="386">
        <v>0</v>
      </c>
      <c r="F204" s="388">
        <v>0</v>
      </c>
    </row>
    <row r="205" spans="1:8" s="134" customFormat="1" x14ac:dyDescent="0.25">
      <c r="A205" s="387" t="s">
        <v>325</v>
      </c>
      <c r="B205" s="386">
        <v>3</v>
      </c>
      <c r="C205" s="386">
        <v>0</v>
      </c>
      <c r="D205" s="386">
        <v>3</v>
      </c>
      <c r="E205" s="386">
        <v>0</v>
      </c>
      <c r="F205" s="388">
        <v>0</v>
      </c>
    </row>
    <row r="206" spans="1:8" s="134" customFormat="1" x14ac:dyDescent="0.25">
      <c r="A206" s="387" t="s">
        <v>326</v>
      </c>
      <c r="B206" s="386">
        <v>0</v>
      </c>
      <c r="C206" s="386">
        <v>0</v>
      </c>
      <c r="D206" s="386">
        <v>0</v>
      </c>
      <c r="E206" s="386">
        <v>0</v>
      </c>
      <c r="F206" s="388">
        <v>0</v>
      </c>
    </row>
    <row r="207" spans="1:8" s="134" customFormat="1" x14ac:dyDescent="0.25">
      <c r="A207" s="387" t="s">
        <v>327</v>
      </c>
      <c r="B207" s="386">
        <v>0</v>
      </c>
      <c r="C207" s="386">
        <v>0</v>
      </c>
      <c r="D207" s="386">
        <v>0</v>
      </c>
      <c r="E207" s="386">
        <v>0</v>
      </c>
      <c r="F207" s="388">
        <v>0</v>
      </c>
    </row>
    <row r="208" spans="1:8" s="134" customFormat="1" x14ac:dyDescent="0.25">
      <c r="A208" s="387" t="s">
        <v>328</v>
      </c>
      <c r="B208" s="386">
        <v>0</v>
      </c>
      <c r="C208" s="386">
        <v>0</v>
      </c>
      <c r="D208" s="386">
        <v>0</v>
      </c>
      <c r="E208" s="386">
        <v>0</v>
      </c>
      <c r="F208" s="388">
        <v>0</v>
      </c>
    </row>
    <row r="209" spans="1:10" s="134" customFormat="1" x14ac:dyDescent="0.25">
      <c r="A209" s="387" t="s">
        <v>329</v>
      </c>
      <c r="B209" s="386">
        <v>0</v>
      </c>
      <c r="C209" s="386">
        <v>0</v>
      </c>
      <c r="D209" s="386">
        <v>0</v>
      </c>
      <c r="E209" s="386">
        <v>0</v>
      </c>
      <c r="F209" s="388">
        <v>0</v>
      </c>
    </row>
    <row r="210" spans="1:10" s="134" customFormat="1" x14ac:dyDescent="0.25">
      <c r="A210" s="387" t="s">
        <v>330</v>
      </c>
      <c r="B210" s="386">
        <v>0</v>
      </c>
      <c r="C210" s="386">
        <v>0</v>
      </c>
      <c r="D210" s="386">
        <v>0</v>
      </c>
      <c r="E210" s="386">
        <v>0</v>
      </c>
      <c r="F210" s="388">
        <v>0</v>
      </c>
    </row>
    <row r="211" spans="1:10" s="134" customFormat="1" x14ac:dyDescent="0.25">
      <c r="A211" s="387" t="s">
        <v>331</v>
      </c>
      <c r="B211" s="386">
        <v>0</v>
      </c>
      <c r="C211" s="386">
        <v>0</v>
      </c>
      <c r="D211" s="386">
        <v>0</v>
      </c>
      <c r="E211" s="386">
        <v>0</v>
      </c>
      <c r="F211" s="388">
        <v>0</v>
      </c>
    </row>
    <row r="212" spans="1:10" s="134" customFormat="1" ht="15.75" thickBot="1" x14ac:dyDescent="0.3">
      <c r="A212" s="387" t="s">
        <v>332</v>
      </c>
      <c r="B212" s="386">
        <v>7</v>
      </c>
      <c r="C212" s="386">
        <v>2</v>
      </c>
      <c r="D212" s="386">
        <v>5</v>
      </c>
      <c r="E212" s="386">
        <v>0</v>
      </c>
      <c r="F212" s="388">
        <v>0</v>
      </c>
    </row>
    <row r="213" spans="1:10" s="134" customFormat="1" ht="16.5" thickTop="1" thickBot="1" x14ac:dyDescent="0.3">
      <c r="A213" s="387" t="s">
        <v>333</v>
      </c>
      <c r="B213" s="284">
        <v>5.14</v>
      </c>
      <c r="C213" s="386">
        <v>1</v>
      </c>
      <c r="D213" s="386">
        <v>6.8</v>
      </c>
      <c r="E213" s="386">
        <v>0</v>
      </c>
      <c r="F213" s="388">
        <v>0</v>
      </c>
    </row>
    <row r="214" spans="1:10" s="134" customFormat="1" ht="15.75" thickTop="1" x14ac:dyDescent="0.25">
      <c r="A214" s="387" t="s">
        <v>334</v>
      </c>
      <c r="B214" s="386">
        <v>0</v>
      </c>
      <c r="C214" s="386">
        <v>0</v>
      </c>
      <c r="D214" s="386">
        <v>0</v>
      </c>
      <c r="E214" s="386">
        <v>0</v>
      </c>
      <c r="F214" s="388">
        <v>0</v>
      </c>
    </row>
    <row r="215" spans="1:10" s="134" customFormat="1" ht="15.75" thickBot="1" x14ac:dyDescent="0.3">
      <c r="A215" s="402" t="s">
        <v>42</v>
      </c>
      <c r="B215" s="389">
        <v>7</v>
      </c>
      <c r="C215" s="389">
        <v>2</v>
      </c>
      <c r="D215" s="389">
        <v>5</v>
      </c>
      <c r="E215" s="389">
        <v>0</v>
      </c>
      <c r="F215" s="390">
        <v>0</v>
      </c>
    </row>
    <row r="216" spans="1:10" ht="25.15" customHeight="1" thickTop="1" thickBot="1" x14ac:dyDescent="0.3">
      <c r="B216" s="254"/>
      <c r="C216" s="254"/>
      <c r="D216" s="254"/>
      <c r="E216" s="254"/>
      <c r="F216" s="254"/>
      <c r="G216" s="254"/>
      <c r="H216" s="254"/>
      <c r="I216" s="254"/>
      <c r="J216" s="254"/>
    </row>
    <row r="217" spans="1:10" s="253" customFormat="1" ht="26.45" customHeight="1" thickTop="1" x14ac:dyDescent="0.25">
      <c r="A217" s="267" t="s">
        <v>245</v>
      </c>
      <c r="B217" s="294"/>
      <c r="C217" s="295"/>
      <c r="D217" s="295"/>
      <c r="E217" s="295"/>
      <c r="F217" s="296"/>
    </row>
    <row r="218" spans="1:10" s="253" customFormat="1" x14ac:dyDescent="0.25">
      <c r="A218" s="783"/>
      <c r="B218" s="777" t="s">
        <v>42</v>
      </c>
      <c r="C218" s="777" t="s">
        <v>162</v>
      </c>
      <c r="D218" s="777" t="s">
        <v>163</v>
      </c>
      <c r="E218" s="777" t="s">
        <v>164</v>
      </c>
      <c r="F218" s="778" t="s">
        <v>165</v>
      </c>
    </row>
    <row r="219" spans="1:10" s="253" customFormat="1" x14ac:dyDescent="0.25">
      <c r="A219" s="783"/>
      <c r="B219" s="777"/>
      <c r="C219" s="777"/>
      <c r="D219" s="777"/>
      <c r="E219" s="777"/>
      <c r="F219" s="778"/>
    </row>
    <row r="220" spans="1:10" s="253" customFormat="1" ht="15.75" thickBot="1" x14ac:dyDescent="0.3">
      <c r="A220" s="797" t="s">
        <v>172</v>
      </c>
      <c r="B220" s="798"/>
      <c r="C220" s="798"/>
      <c r="D220" s="798"/>
      <c r="E220" s="798"/>
      <c r="F220" s="799"/>
    </row>
    <row r="221" spans="1:10" s="253" customFormat="1" ht="46.5" thickTop="1" thickBot="1" x14ac:dyDescent="0.3">
      <c r="A221" s="415" t="s">
        <v>252</v>
      </c>
      <c r="B221" s="284">
        <v>0</v>
      </c>
      <c r="C221" s="386">
        <v>0</v>
      </c>
      <c r="D221" s="386">
        <v>0</v>
      </c>
      <c r="E221" s="386">
        <v>0</v>
      </c>
      <c r="F221" s="388">
        <v>0</v>
      </c>
    </row>
    <row r="222" spans="1:10" s="253" customFormat="1" ht="31.5" thickTop="1" thickBot="1" x14ac:dyDescent="0.3">
      <c r="A222" s="415" t="s">
        <v>519</v>
      </c>
      <c r="B222" s="284">
        <v>1</v>
      </c>
      <c r="C222" s="386">
        <v>0</v>
      </c>
      <c r="D222" s="386">
        <v>1</v>
      </c>
      <c r="E222" s="386">
        <v>0</v>
      </c>
      <c r="F222" s="388">
        <v>0</v>
      </c>
    </row>
    <row r="223" spans="1:10" s="253" customFormat="1" ht="15.75" thickTop="1" x14ac:dyDescent="0.25">
      <c r="A223" s="415" t="s">
        <v>174</v>
      </c>
      <c r="B223" s="386">
        <v>0</v>
      </c>
      <c r="C223" s="386">
        <v>0</v>
      </c>
      <c r="D223" s="386">
        <v>0</v>
      </c>
      <c r="E223" s="386">
        <v>0</v>
      </c>
      <c r="F223" s="388">
        <v>0</v>
      </c>
    </row>
    <row r="224" spans="1:10" s="253" customFormat="1" x14ac:dyDescent="0.25">
      <c r="A224" s="416" t="s">
        <v>176</v>
      </c>
      <c r="B224" s="408">
        <v>1</v>
      </c>
      <c r="C224" s="408">
        <v>0</v>
      </c>
      <c r="D224" s="408">
        <v>1</v>
      </c>
      <c r="E224" s="408">
        <v>0</v>
      </c>
      <c r="F224" s="409">
        <v>0</v>
      </c>
    </row>
    <row r="225" spans="1:6" s="253" customFormat="1" x14ac:dyDescent="0.25">
      <c r="A225" s="797" t="s">
        <v>520</v>
      </c>
      <c r="B225" s="798"/>
      <c r="C225" s="798"/>
      <c r="D225" s="798"/>
      <c r="E225" s="798"/>
      <c r="F225" s="799"/>
    </row>
    <row r="226" spans="1:6" s="253" customFormat="1" x14ac:dyDescent="0.25">
      <c r="A226" s="415" t="s">
        <v>180</v>
      </c>
      <c r="B226" s="386">
        <v>0</v>
      </c>
      <c r="C226" s="386">
        <v>0</v>
      </c>
      <c r="D226" s="386">
        <v>0</v>
      </c>
      <c r="E226" s="386">
        <v>0</v>
      </c>
      <c r="F226" s="388">
        <v>0</v>
      </c>
    </row>
    <row r="227" spans="1:6" s="253" customFormat="1" ht="30" x14ac:dyDescent="0.25">
      <c r="A227" s="415" t="s">
        <v>179</v>
      </c>
      <c r="B227" s="386">
        <v>0</v>
      </c>
      <c r="C227" s="386">
        <v>0</v>
      </c>
      <c r="D227" s="386">
        <v>0</v>
      </c>
      <c r="E227" s="386">
        <v>0</v>
      </c>
      <c r="F227" s="388">
        <v>0</v>
      </c>
    </row>
    <row r="228" spans="1:6" s="253" customFormat="1" x14ac:dyDescent="0.25">
      <c r="A228" s="415" t="s">
        <v>253</v>
      </c>
      <c r="B228" s="386">
        <v>0</v>
      </c>
      <c r="C228" s="386">
        <v>0</v>
      </c>
      <c r="D228" s="386">
        <v>0</v>
      </c>
      <c r="E228" s="386">
        <v>0</v>
      </c>
      <c r="F228" s="388">
        <v>0</v>
      </c>
    </row>
    <row r="229" spans="1:6" s="253" customFormat="1" x14ac:dyDescent="0.25">
      <c r="A229" s="415" t="s">
        <v>181</v>
      </c>
      <c r="B229" s="386">
        <v>0</v>
      </c>
      <c r="C229" s="386">
        <v>0</v>
      </c>
      <c r="D229" s="386">
        <v>0</v>
      </c>
      <c r="E229" s="386">
        <v>0</v>
      </c>
      <c r="F229" s="388">
        <v>0</v>
      </c>
    </row>
    <row r="230" spans="1:6" s="253" customFormat="1" x14ac:dyDescent="0.25">
      <c r="A230" s="415" t="s">
        <v>177</v>
      </c>
      <c r="B230" s="386">
        <v>0</v>
      </c>
      <c r="C230" s="386">
        <v>0</v>
      </c>
      <c r="D230" s="386">
        <v>0</v>
      </c>
      <c r="E230" s="386">
        <v>0</v>
      </c>
      <c r="F230" s="388">
        <v>0</v>
      </c>
    </row>
    <row r="231" spans="1:6" s="253" customFormat="1" x14ac:dyDescent="0.25">
      <c r="A231" s="415" t="s">
        <v>178</v>
      </c>
      <c r="B231" s="386">
        <v>0</v>
      </c>
      <c r="C231" s="386">
        <v>0</v>
      </c>
      <c r="D231" s="386">
        <v>0</v>
      </c>
      <c r="E231" s="386">
        <v>0</v>
      </c>
      <c r="F231" s="388">
        <v>0</v>
      </c>
    </row>
    <row r="232" spans="1:6" s="253" customFormat="1" x14ac:dyDescent="0.25">
      <c r="A232" s="416" t="s">
        <v>176</v>
      </c>
      <c r="B232" s="408">
        <v>0</v>
      </c>
      <c r="C232" s="408">
        <v>0</v>
      </c>
      <c r="D232" s="408">
        <v>0</v>
      </c>
      <c r="E232" s="408">
        <v>0</v>
      </c>
      <c r="F232" s="409">
        <v>0</v>
      </c>
    </row>
    <row r="233" spans="1:6" s="253" customFormat="1" x14ac:dyDescent="0.25">
      <c r="A233" s="800" t="s">
        <v>521</v>
      </c>
      <c r="B233" s="801"/>
      <c r="C233" s="801"/>
      <c r="D233" s="801"/>
      <c r="E233" s="801"/>
      <c r="F233" s="802"/>
    </row>
    <row r="234" spans="1:6" s="253" customFormat="1" ht="30" x14ac:dyDescent="0.25">
      <c r="A234" s="415" t="s">
        <v>173</v>
      </c>
      <c r="B234" s="386">
        <v>0</v>
      </c>
      <c r="C234" s="386">
        <v>0</v>
      </c>
      <c r="D234" s="386">
        <v>0</v>
      </c>
      <c r="E234" s="386">
        <v>0</v>
      </c>
      <c r="F234" s="388">
        <v>0</v>
      </c>
    </row>
    <row r="235" spans="1:6" s="253" customFormat="1" ht="30" x14ac:dyDescent="0.25">
      <c r="A235" s="415" t="s">
        <v>182</v>
      </c>
      <c r="B235" s="386">
        <v>0</v>
      </c>
      <c r="C235" s="386">
        <v>0</v>
      </c>
      <c r="D235" s="386">
        <v>0</v>
      </c>
      <c r="E235" s="386">
        <v>0</v>
      </c>
      <c r="F235" s="388">
        <v>0</v>
      </c>
    </row>
    <row r="236" spans="1:6" s="253" customFormat="1" ht="30" x14ac:dyDescent="0.25">
      <c r="A236" s="415" t="s">
        <v>186</v>
      </c>
      <c r="B236" s="386">
        <v>0</v>
      </c>
      <c r="C236" s="386">
        <v>0</v>
      </c>
      <c r="D236" s="386">
        <v>0</v>
      </c>
      <c r="E236" s="386">
        <v>0</v>
      </c>
      <c r="F236" s="388">
        <v>0</v>
      </c>
    </row>
    <row r="237" spans="1:6" s="253" customFormat="1" x14ac:dyDescent="0.25">
      <c r="A237" s="415" t="s">
        <v>175</v>
      </c>
      <c r="B237" s="386">
        <v>0</v>
      </c>
      <c r="C237" s="386">
        <v>0</v>
      </c>
      <c r="D237" s="386">
        <v>0</v>
      </c>
      <c r="E237" s="386">
        <v>0</v>
      </c>
      <c r="F237" s="388">
        <v>0</v>
      </c>
    </row>
    <row r="238" spans="1:6" s="253" customFormat="1" ht="30" x14ac:dyDescent="0.25">
      <c r="A238" s="415" t="s">
        <v>250</v>
      </c>
      <c r="B238" s="386">
        <v>1</v>
      </c>
      <c r="C238" s="386">
        <v>1</v>
      </c>
      <c r="D238" s="386">
        <v>0</v>
      </c>
      <c r="E238" s="386">
        <v>0</v>
      </c>
      <c r="F238" s="388">
        <v>0</v>
      </c>
    </row>
    <row r="239" spans="1:6" s="253" customFormat="1" ht="30" x14ac:dyDescent="0.25">
      <c r="A239" s="415" t="s">
        <v>251</v>
      </c>
      <c r="B239" s="386">
        <v>0</v>
      </c>
      <c r="C239" s="386">
        <v>0</v>
      </c>
      <c r="D239" s="386">
        <v>0</v>
      </c>
      <c r="E239" s="386">
        <v>0</v>
      </c>
      <c r="F239" s="388">
        <v>0</v>
      </c>
    </row>
    <row r="240" spans="1:6" s="253" customFormat="1" ht="18.75" customHeight="1" x14ac:dyDescent="0.25">
      <c r="A240" s="415" t="s">
        <v>249</v>
      </c>
      <c r="B240" s="386">
        <v>0</v>
      </c>
      <c r="C240" s="386">
        <v>0</v>
      </c>
      <c r="D240" s="386">
        <v>0</v>
      </c>
      <c r="E240" s="386">
        <v>0</v>
      </c>
      <c r="F240" s="388">
        <v>0</v>
      </c>
    </row>
    <row r="241" spans="1:6" s="253" customFormat="1" x14ac:dyDescent="0.25">
      <c r="A241" s="415" t="s">
        <v>176</v>
      </c>
      <c r="B241" s="386">
        <v>1</v>
      </c>
      <c r="C241" s="386">
        <v>1</v>
      </c>
      <c r="D241" s="386">
        <v>0</v>
      </c>
      <c r="E241" s="386">
        <v>0</v>
      </c>
      <c r="F241" s="388">
        <v>0</v>
      </c>
    </row>
    <row r="242" spans="1:6" s="253" customFormat="1" x14ac:dyDescent="0.25">
      <c r="A242" s="797" t="s">
        <v>524</v>
      </c>
      <c r="B242" s="798"/>
      <c r="C242" s="798"/>
      <c r="D242" s="798"/>
      <c r="E242" s="798"/>
      <c r="F242" s="799"/>
    </row>
    <row r="243" spans="1:6" s="253" customFormat="1" x14ac:dyDescent="0.25">
      <c r="A243" s="415" t="s">
        <v>247</v>
      </c>
      <c r="B243" s="386">
        <v>2</v>
      </c>
      <c r="C243" s="386">
        <v>0</v>
      </c>
      <c r="D243" s="386">
        <v>2</v>
      </c>
      <c r="E243" s="386">
        <v>0</v>
      </c>
      <c r="F243" s="388">
        <v>0</v>
      </c>
    </row>
    <row r="244" spans="1:6" s="253" customFormat="1" x14ac:dyDescent="0.25">
      <c r="A244" s="415" t="s">
        <v>248</v>
      </c>
      <c r="B244" s="386">
        <v>0</v>
      </c>
      <c r="C244" s="386">
        <v>0</v>
      </c>
      <c r="D244" s="386">
        <v>0</v>
      </c>
      <c r="E244" s="386">
        <v>0</v>
      </c>
      <c r="F244" s="388">
        <v>0</v>
      </c>
    </row>
    <row r="245" spans="1:6" s="253" customFormat="1" ht="15.75" thickBot="1" x14ac:dyDescent="0.3">
      <c r="A245" s="415" t="s">
        <v>246</v>
      </c>
      <c r="B245" s="386">
        <v>0</v>
      </c>
      <c r="C245" s="386">
        <v>0</v>
      </c>
      <c r="D245" s="386">
        <v>0</v>
      </c>
      <c r="E245" s="386">
        <v>0</v>
      </c>
      <c r="F245" s="388">
        <v>0</v>
      </c>
    </row>
    <row r="246" spans="1:6" s="253" customFormat="1" ht="16.5" thickTop="1" thickBot="1" x14ac:dyDescent="0.3">
      <c r="A246" s="415" t="s">
        <v>185</v>
      </c>
      <c r="B246" s="284">
        <v>0</v>
      </c>
      <c r="C246" s="386">
        <v>0</v>
      </c>
      <c r="D246" s="386">
        <v>0</v>
      </c>
      <c r="E246" s="386">
        <v>0</v>
      </c>
      <c r="F246" s="388">
        <v>0</v>
      </c>
    </row>
    <row r="247" spans="1:6" s="253" customFormat="1" ht="16.5" thickTop="1" thickBot="1" x14ac:dyDescent="0.3">
      <c r="A247" s="415" t="s">
        <v>525</v>
      </c>
      <c r="B247" s="284">
        <v>4</v>
      </c>
      <c r="C247" s="386">
        <v>4</v>
      </c>
      <c r="D247" s="386">
        <v>0</v>
      </c>
      <c r="E247" s="386">
        <v>0</v>
      </c>
      <c r="F247" s="388">
        <v>0</v>
      </c>
    </row>
    <row r="248" spans="1:6" s="253" customFormat="1" ht="16.5" thickTop="1" thickBot="1" x14ac:dyDescent="0.3">
      <c r="A248" s="415" t="s">
        <v>184</v>
      </c>
      <c r="B248" s="284">
        <v>0</v>
      </c>
      <c r="C248" s="386">
        <v>0</v>
      </c>
      <c r="D248" s="386">
        <v>0</v>
      </c>
      <c r="E248" s="386">
        <v>0</v>
      </c>
      <c r="F248" s="388">
        <v>0</v>
      </c>
    </row>
    <row r="249" spans="1:6" s="253" customFormat="1" ht="16.5" thickTop="1" thickBot="1" x14ac:dyDescent="0.3">
      <c r="A249" s="415" t="s">
        <v>183</v>
      </c>
      <c r="B249" s="284">
        <v>0</v>
      </c>
      <c r="C249" s="386">
        <v>0</v>
      </c>
      <c r="D249" s="386">
        <v>0</v>
      </c>
      <c r="E249" s="386">
        <v>0</v>
      </c>
      <c r="F249" s="388">
        <v>0</v>
      </c>
    </row>
    <row r="250" spans="1:6" s="253" customFormat="1" ht="15.75" thickTop="1" x14ac:dyDescent="0.25">
      <c r="A250" s="415" t="s">
        <v>176</v>
      </c>
      <c r="B250" s="386">
        <v>6</v>
      </c>
      <c r="C250" s="386">
        <v>4</v>
      </c>
      <c r="D250" s="386">
        <v>2</v>
      </c>
      <c r="E250" s="386">
        <v>0</v>
      </c>
      <c r="F250" s="388">
        <v>0</v>
      </c>
    </row>
    <row r="251" spans="1:6" s="253" customFormat="1" x14ac:dyDescent="0.25">
      <c r="A251" s="797" t="s">
        <v>527</v>
      </c>
      <c r="B251" s="798"/>
      <c r="C251" s="798"/>
      <c r="D251" s="798"/>
      <c r="E251" s="798"/>
      <c r="F251" s="799"/>
    </row>
    <row r="252" spans="1:6" s="253" customFormat="1" x14ac:dyDescent="0.25">
      <c r="A252" s="415" t="s">
        <v>528</v>
      </c>
      <c r="B252" s="386">
        <v>0</v>
      </c>
      <c r="C252" s="386">
        <v>0</v>
      </c>
      <c r="D252" s="386">
        <v>0</v>
      </c>
      <c r="E252" s="386">
        <v>0</v>
      </c>
      <c r="F252" s="388">
        <v>0</v>
      </c>
    </row>
    <row r="253" spans="1:6" s="253" customFormat="1" x14ac:dyDescent="0.25">
      <c r="A253" s="415" t="s">
        <v>231</v>
      </c>
      <c r="B253" s="386">
        <v>0</v>
      </c>
      <c r="C253" s="386">
        <v>0</v>
      </c>
      <c r="D253" s="386">
        <v>0</v>
      </c>
      <c r="E253" s="386">
        <v>0</v>
      </c>
      <c r="F253" s="388">
        <v>0</v>
      </c>
    </row>
    <row r="254" spans="1:6" s="253" customFormat="1" ht="15.75" thickBot="1" x14ac:dyDescent="0.3">
      <c r="A254" s="415" t="s">
        <v>254</v>
      </c>
      <c r="B254" s="386">
        <v>0</v>
      </c>
      <c r="C254" s="386">
        <v>0</v>
      </c>
      <c r="D254" s="386">
        <v>0</v>
      </c>
      <c r="E254" s="386">
        <v>0</v>
      </c>
      <c r="F254" s="388">
        <v>0</v>
      </c>
    </row>
    <row r="255" spans="1:6" s="253" customFormat="1" ht="16.5" thickTop="1" thickBot="1" x14ac:dyDescent="0.3">
      <c r="A255" s="415" t="s">
        <v>511</v>
      </c>
      <c r="B255" s="284">
        <v>0</v>
      </c>
      <c r="C255" s="386">
        <v>0</v>
      </c>
      <c r="D255" s="386">
        <v>0</v>
      </c>
      <c r="E255" s="386">
        <v>0</v>
      </c>
      <c r="F255" s="388">
        <v>0</v>
      </c>
    </row>
    <row r="256" spans="1:6" s="253" customFormat="1" ht="16.5" thickTop="1" thickBot="1" x14ac:dyDescent="0.3">
      <c r="A256" s="415" t="s">
        <v>170</v>
      </c>
      <c r="B256" s="284">
        <v>0</v>
      </c>
      <c r="C256" s="386">
        <v>0</v>
      </c>
      <c r="D256" s="386">
        <v>0</v>
      </c>
      <c r="E256" s="386">
        <v>0</v>
      </c>
      <c r="F256" s="388">
        <v>0</v>
      </c>
    </row>
    <row r="257" spans="1:6" s="253" customFormat="1" ht="16.5" thickTop="1" thickBot="1" x14ac:dyDescent="0.3">
      <c r="A257" s="415" t="s">
        <v>176</v>
      </c>
      <c r="B257" s="386">
        <v>0</v>
      </c>
      <c r="C257" s="386">
        <v>0</v>
      </c>
      <c r="D257" s="386">
        <v>0</v>
      </c>
      <c r="E257" s="386">
        <v>0</v>
      </c>
      <c r="F257" s="388">
        <v>0</v>
      </c>
    </row>
    <row r="258" spans="1:6" s="253" customFormat="1" ht="16.5" thickTop="1" thickBot="1" x14ac:dyDescent="0.3">
      <c r="A258" s="416" t="s">
        <v>529</v>
      </c>
      <c r="B258" s="284">
        <v>8</v>
      </c>
      <c r="C258" s="408">
        <v>5</v>
      </c>
      <c r="D258" s="408">
        <v>3</v>
      </c>
      <c r="E258" s="408">
        <v>0</v>
      </c>
      <c r="F258" s="409">
        <v>0</v>
      </c>
    </row>
    <row r="259" spans="1:6" s="253" customFormat="1" ht="16.5" thickTop="1" thickBot="1" x14ac:dyDescent="0.3">
      <c r="A259" s="416" t="s">
        <v>255</v>
      </c>
      <c r="B259" s="284">
        <v>6</v>
      </c>
      <c r="C259" s="408">
        <v>4</v>
      </c>
      <c r="D259" s="408">
        <v>2</v>
      </c>
      <c r="E259" s="408">
        <v>0</v>
      </c>
      <c r="F259" s="409">
        <v>0</v>
      </c>
    </row>
    <row r="260" spans="1:6" s="253" customFormat="1" ht="31.5" thickTop="1" thickBot="1" x14ac:dyDescent="0.3">
      <c r="A260" s="416" t="s">
        <v>530</v>
      </c>
      <c r="B260" s="284">
        <v>0</v>
      </c>
      <c r="C260" s="408">
        <v>0</v>
      </c>
      <c r="D260" s="408">
        <v>0</v>
      </c>
      <c r="E260" s="408">
        <v>0</v>
      </c>
      <c r="F260" s="409">
        <v>0</v>
      </c>
    </row>
    <row r="261" spans="1:6" s="253" customFormat="1" ht="30" customHeight="1" thickTop="1" thickBot="1" x14ac:dyDescent="0.3">
      <c r="A261" s="417" t="s">
        <v>531</v>
      </c>
      <c r="B261" s="284">
        <v>0.75</v>
      </c>
      <c r="C261" s="418">
        <v>0.8</v>
      </c>
      <c r="D261" s="418">
        <v>0.66669999999999996</v>
      </c>
      <c r="E261" s="418">
        <v>0</v>
      </c>
      <c r="F261" s="419">
        <v>0</v>
      </c>
    </row>
    <row r="262" spans="1:6" ht="15.75" thickTop="1" x14ac:dyDescent="0.25">
      <c r="A262" s="266"/>
      <c r="B262" s="254"/>
      <c r="C262" s="277"/>
      <c r="D262" s="277"/>
      <c r="E262" s="266"/>
      <c r="F262" s="266"/>
    </row>
    <row r="263" spans="1:6" ht="15.75" thickBot="1" x14ac:dyDescent="0.3">
      <c r="A263" s="266"/>
      <c r="B263" s="277"/>
      <c r="C263" s="277"/>
      <c r="D263" s="277"/>
      <c r="E263" s="266"/>
      <c r="F263" s="266"/>
    </row>
    <row r="264" spans="1:6" ht="30.75" thickTop="1" x14ac:dyDescent="0.25">
      <c r="A264" s="267" t="s">
        <v>313</v>
      </c>
      <c r="B264" s="294"/>
      <c r="C264" s="295"/>
      <c r="D264" s="295"/>
      <c r="E264" s="295"/>
      <c r="F264" s="296"/>
    </row>
    <row r="265" spans="1:6" ht="15" customHeight="1" x14ac:dyDescent="0.25">
      <c r="A265" s="790"/>
      <c r="B265" s="791" t="s">
        <v>42</v>
      </c>
      <c r="C265" s="791" t="s">
        <v>162</v>
      </c>
      <c r="D265" s="791" t="s">
        <v>163</v>
      </c>
      <c r="E265" s="791" t="s">
        <v>164</v>
      </c>
      <c r="F265" s="792" t="s">
        <v>165</v>
      </c>
    </row>
    <row r="266" spans="1:6" ht="15" customHeight="1" thickBot="1" x14ac:dyDescent="0.3">
      <c r="A266" s="790"/>
      <c r="B266" s="791"/>
      <c r="C266" s="791"/>
      <c r="D266" s="791"/>
      <c r="E266" s="791"/>
      <c r="F266" s="792"/>
    </row>
    <row r="267" spans="1:6" ht="16.5" thickTop="1" thickBot="1" x14ac:dyDescent="0.3">
      <c r="A267" s="272" t="s">
        <v>314</v>
      </c>
      <c r="B267" s="284">
        <v>14</v>
      </c>
      <c r="C267" s="302">
        <v>12</v>
      </c>
      <c r="D267" s="302">
        <v>2</v>
      </c>
      <c r="E267" s="302">
        <v>0</v>
      </c>
      <c r="F267" s="303">
        <v>0</v>
      </c>
    </row>
    <row r="268" spans="1:6" ht="16.5" thickTop="1" thickBot="1" x14ac:dyDescent="0.3">
      <c r="A268" s="272" t="s">
        <v>315</v>
      </c>
      <c r="B268" s="302">
        <v>6</v>
      </c>
      <c r="C268" s="302">
        <v>6</v>
      </c>
      <c r="D268" s="302">
        <v>0</v>
      </c>
      <c r="E268" s="302">
        <v>0</v>
      </c>
      <c r="F268" s="303">
        <v>0</v>
      </c>
    </row>
    <row r="269" spans="1:6" ht="16.5" thickTop="1" thickBot="1" x14ac:dyDescent="0.3">
      <c r="A269" s="272" t="s">
        <v>512</v>
      </c>
      <c r="B269" s="284">
        <v>0</v>
      </c>
      <c r="C269" s="302">
        <v>0</v>
      </c>
      <c r="D269" s="302">
        <v>0</v>
      </c>
      <c r="E269" s="302">
        <v>0</v>
      </c>
      <c r="F269" s="303">
        <v>0</v>
      </c>
    </row>
    <row r="270" spans="1:6" ht="16.5" thickTop="1" thickBot="1" x14ac:dyDescent="0.3">
      <c r="A270" s="272" t="s">
        <v>170</v>
      </c>
      <c r="B270" s="302">
        <v>0</v>
      </c>
      <c r="C270" s="302">
        <v>0</v>
      </c>
      <c r="D270" s="302">
        <v>0</v>
      </c>
      <c r="E270" s="302">
        <v>0</v>
      </c>
      <c r="F270" s="303">
        <v>0</v>
      </c>
    </row>
    <row r="271" spans="1:6" ht="16.5" thickTop="1" thickBot="1" x14ac:dyDescent="0.3">
      <c r="A271" s="273" t="s">
        <v>42</v>
      </c>
      <c r="B271" s="284">
        <v>20</v>
      </c>
      <c r="C271" s="304">
        <v>18</v>
      </c>
      <c r="D271" s="304">
        <v>2</v>
      </c>
      <c r="E271" s="304">
        <v>0</v>
      </c>
      <c r="F271" s="305">
        <v>0</v>
      </c>
    </row>
    <row r="272" spans="1:6" ht="15.75" thickTop="1" x14ac:dyDescent="0.25">
      <c r="A272" s="254" t="s">
        <v>312</v>
      </c>
    </row>
    <row r="273" spans="1:1" x14ac:dyDescent="0.25">
      <c r="A273" s="254" t="s">
        <v>312</v>
      </c>
    </row>
    <row r="274" spans="1:1" x14ac:dyDescent="0.25">
      <c r="A274" s="254" t="s">
        <v>312</v>
      </c>
    </row>
    <row r="275" spans="1:1" x14ac:dyDescent="0.25">
      <c r="A275" s="254" t="s">
        <v>312</v>
      </c>
    </row>
    <row r="276" spans="1:1" x14ac:dyDescent="0.25">
      <c r="A276" s="254" t="s">
        <v>312</v>
      </c>
    </row>
  </sheetData>
  <mergeCells count="97">
    <mergeCell ref="A220:F220"/>
    <mergeCell ref="A225:F225"/>
    <mergeCell ref="A233:F233"/>
    <mergeCell ref="A242:F242"/>
    <mergeCell ref="A251:F251"/>
    <mergeCell ref="A102:F102"/>
    <mergeCell ref="A107:F107"/>
    <mergeCell ref="A115:F115"/>
    <mergeCell ref="A123:F123"/>
    <mergeCell ref="F77:F78"/>
    <mergeCell ref="A100:A101"/>
    <mergeCell ref="B100:B101"/>
    <mergeCell ref="C100:C101"/>
    <mergeCell ref="D100:D101"/>
    <mergeCell ref="E100:E101"/>
    <mergeCell ref="F100:F101"/>
    <mergeCell ref="G77:G78"/>
    <mergeCell ref="A1:C1"/>
    <mergeCell ref="A265:A266"/>
    <mergeCell ref="B265:B266"/>
    <mergeCell ref="C265:C266"/>
    <mergeCell ref="D265:D266"/>
    <mergeCell ref="E265:E266"/>
    <mergeCell ref="F265:F266"/>
    <mergeCell ref="A218:A219"/>
    <mergeCell ref="B218:B219"/>
    <mergeCell ref="C218:C219"/>
    <mergeCell ref="D218:D219"/>
    <mergeCell ref="E218:E219"/>
    <mergeCell ref="F218:F219"/>
    <mergeCell ref="A32:A33"/>
    <mergeCell ref="B32:B33"/>
    <mergeCell ref="C32:C33"/>
    <mergeCell ref="D32:D33"/>
    <mergeCell ref="E32:E33"/>
    <mergeCell ref="F32:F33"/>
    <mergeCell ref="A51:A52"/>
    <mergeCell ref="B51:B52"/>
    <mergeCell ref="C51:C52"/>
    <mergeCell ref="D51:D52"/>
    <mergeCell ref="E51:E52"/>
    <mergeCell ref="F51:F52"/>
    <mergeCell ref="A43:A44"/>
    <mergeCell ref="B43:B44"/>
    <mergeCell ref="C43:C44"/>
    <mergeCell ref="D43:D44"/>
    <mergeCell ref="E43:E44"/>
    <mergeCell ref="F43:F44"/>
    <mergeCell ref="F60:F61"/>
    <mergeCell ref="A77:A78"/>
    <mergeCell ref="B77:B78"/>
    <mergeCell ref="C77:C78"/>
    <mergeCell ref="D77:D78"/>
    <mergeCell ref="E77:E78"/>
    <mergeCell ref="A60:A61"/>
    <mergeCell ref="B60:B61"/>
    <mergeCell ref="C60:C61"/>
    <mergeCell ref="D60:D61"/>
    <mergeCell ref="E60:E61"/>
    <mergeCell ref="J153:J154"/>
    <mergeCell ref="A136:A138"/>
    <mergeCell ref="B136:B138"/>
    <mergeCell ref="C136:C138"/>
    <mergeCell ref="D136:D138"/>
    <mergeCell ref="A153:A154"/>
    <mergeCell ref="B153:B154"/>
    <mergeCell ref="C153:C154"/>
    <mergeCell ref="D153:D154"/>
    <mergeCell ref="E153:E154"/>
    <mergeCell ref="F153:F154"/>
    <mergeCell ref="G153:G154"/>
    <mergeCell ref="H153:H154"/>
    <mergeCell ref="I153:I154"/>
    <mergeCell ref="G164:G165"/>
    <mergeCell ref="H164:H165"/>
    <mergeCell ref="I164:I165"/>
    <mergeCell ref="J164:J165"/>
    <mergeCell ref="A175:A177"/>
    <mergeCell ref="B175:B177"/>
    <mergeCell ref="C175:C177"/>
    <mergeCell ref="D175:D177"/>
    <mergeCell ref="A164:A165"/>
    <mergeCell ref="B164:B165"/>
    <mergeCell ref="C164:C165"/>
    <mergeCell ref="D164:D165"/>
    <mergeCell ref="E164:E165"/>
    <mergeCell ref="F164:F165"/>
    <mergeCell ref="E202:E203"/>
    <mergeCell ref="F202:F203"/>
    <mergeCell ref="A186:A187"/>
    <mergeCell ref="B186:B187"/>
    <mergeCell ref="C186:C187"/>
    <mergeCell ref="D186:D187"/>
    <mergeCell ref="A202:A203"/>
    <mergeCell ref="B202:B203"/>
    <mergeCell ref="C202:C203"/>
    <mergeCell ref="D202:D203"/>
  </mergeCells>
  <hyperlinks>
    <hyperlink ref="B50" r:id="rId1" tooltip="Copy section results to clipboard" display="javascript:void(0);" xr:uid="{486DCC0E-DE8C-4977-81DC-A91615AE767C}"/>
    <hyperlink ref="B99" r:id="rId2" tooltip="Copy section results to clipboard" display="javascript:void(0);" xr:uid="{B422C659-0DDD-4CE0-8723-EF8A6D1D0073}"/>
    <hyperlink ref="B135" r:id="rId3" tooltip="Copy section results to clipboard" display="javascript:void(0);" xr:uid="{4DE1BE88-A3F0-425B-A357-10A7C7B289DF}"/>
    <hyperlink ref="B152" r:id="rId4" tooltip="Copy section results to clipboard" display="javascript:void(0);" xr:uid="{0428D684-4498-4B6E-9AB2-E811C4555499}"/>
    <hyperlink ref="B163" r:id="rId5" tooltip="Copy section results to clipboard" display="javascript:void(0);" xr:uid="{E304E841-65EF-46E1-8003-61010FF2D21E}"/>
    <hyperlink ref="B174" r:id="rId6" tooltip="Copy section results to clipboard" display="javascript:void(0);" xr:uid="{50A28A29-BECE-4B34-A669-2A8AB30A0B2B}"/>
    <hyperlink ref="B217" r:id="rId7" tooltip="Copy section results to clipboard" display="javascript:void(0);" xr:uid="{26656070-FA35-4EC7-B86F-60A4A510C611}"/>
    <hyperlink ref="B185" r:id="rId8" tooltip="Copy section results to clipboard" display="javascript:void(0);" xr:uid="{8B904B02-8E1E-4AF0-8CB7-97FA6B90A558}"/>
    <hyperlink ref="B42" r:id="rId9" tooltip="Copy section results to clipboard" display="javascript:void(0);" xr:uid="{A38CC26F-E171-4CEA-94E5-6A3C55C8C6E6}"/>
    <hyperlink ref="B31" r:id="rId10" tooltip="Copy section results to clipboard" display="javascript:void(0);" xr:uid="{5F198612-AB08-4680-9B83-C00743F78BD7}"/>
    <hyperlink ref="B264" r:id="rId11" tooltip="Copy section results to clipboard" display="javascript:void(0);" xr:uid="{C692AF52-4F62-4727-A1A8-279B740A5258}"/>
    <hyperlink ref="B59" r:id="rId12" tooltip="Copy section results to clipboard" display="javascript:void(0);" xr:uid="{B1DB9F08-324A-4D00-A69F-C55DCA22ED5A}"/>
    <hyperlink ref="B76" r:id="rId13" tooltip="Copy section results to clipboard" display="javascript:void(0);" xr:uid="{DCBBA376-80A0-483F-AB83-D1ECF3D550D6}"/>
  </hyperlinks>
  <pageMargins left="0.7" right="0.7" top="0.75" bottom="0.75" header="0.3" footer="0.3"/>
  <pageSetup scale="61" fitToHeight="0" orientation="landscape" r:id="rId14"/>
  <headerFooter>
    <oddFooter>Page &amp;P of &amp;N</oddFooter>
  </headerFooter>
  <rowBreaks count="2" manualBreakCount="2">
    <brk id="53" max="16383" man="1"/>
    <brk id="15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98"/>
  <sheetViews>
    <sheetView workbookViewId="0"/>
  </sheetViews>
  <sheetFormatPr defaultColWidth="8.5703125" defaultRowHeight="15" x14ac:dyDescent="0.25"/>
  <cols>
    <col min="1" max="1" width="4.5703125" customWidth="1"/>
    <col min="2" max="2" width="66.85546875" style="51" customWidth="1"/>
    <col min="3" max="3" width="16.5703125" style="48" customWidth="1"/>
    <col min="4" max="5" width="12.42578125" customWidth="1"/>
    <col min="6" max="7" width="13.42578125" customWidth="1"/>
    <col min="8" max="8" width="11.5703125" style="50" customWidth="1"/>
    <col min="9" max="9" width="21.5703125" customWidth="1"/>
  </cols>
  <sheetData>
    <row r="1" spans="1:10" x14ac:dyDescent="0.25">
      <c r="C1"/>
      <c r="H1"/>
      <c r="I1" s="52"/>
    </row>
    <row r="2" spans="1:10" x14ac:dyDescent="0.25">
      <c r="B2" s="809" t="s">
        <v>105</v>
      </c>
      <c r="C2" s="809"/>
      <c r="D2" s="809"/>
      <c r="E2" s="809"/>
      <c r="F2" s="809"/>
      <c r="G2" s="809"/>
      <c r="H2" s="809"/>
      <c r="I2" s="810"/>
    </row>
    <row r="3" spans="1:10" ht="15" customHeight="1" x14ac:dyDescent="0.25">
      <c r="B3" s="813" t="s">
        <v>0</v>
      </c>
      <c r="C3" s="814" t="s">
        <v>1</v>
      </c>
      <c r="D3" s="813" t="s">
        <v>106</v>
      </c>
      <c r="E3" s="813"/>
      <c r="F3" s="813" t="s">
        <v>107</v>
      </c>
      <c r="G3" s="813"/>
      <c r="H3" s="813"/>
      <c r="I3" s="811" t="s">
        <v>2</v>
      </c>
    </row>
    <row r="4" spans="1:10" ht="15" customHeight="1" x14ac:dyDescent="0.25">
      <c r="B4" s="813"/>
      <c r="C4" s="814"/>
      <c r="D4" s="813"/>
      <c r="E4" s="813"/>
      <c r="F4" s="813"/>
      <c r="G4" s="813"/>
      <c r="H4" s="813"/>
      <c r="I4" s="811"/>
    </row>
    <row r="5" spans="1:10" ht="15" customHeight="1" x14ac:dyDescent="0.25">
      <c r="B5" s="813"/>
      <c r="C5" s="814"/>
      <c r="D5" s="813"/>
      <c r="E5" s="813"/>
      <c r="F5" s="813"/>
      <c r="G5" s="813"/>
      <c r="H5" s="813"/>
      <c r="I5" s="811"/>
    </row>
    <row r="6" spans="1:10" ht="15" customHeight="1" x14ac:dyDescent="0.25">
      <c r="B6" s="816" t="s">
        <v>3</v>
      </c>
      <c r="C6" s="816"/>
      <c r="D6" s="815" t="s">
        <v>4</v>
      </c>
      <c r="E6" s="815" t="s">
        <v>5</v>
      </c>
      <c r="F6" s="53" t="s">
        <v>6</v>
      </c>
      <c r="G6" s="53" t="s">
        <v>5</v>
      </c>
      <c r="H6" s="53" t="s">
        <v>7</v>
      </c>
      <c r="I6" s="812" t="s">
        <v>8</v>
      </c>
      <c r="J6" s="54" t="s">
        <v>74</v>
      </c>
    </row>
    <row r="7" spans="1:10" x14ac:dyDescent="0.25">
      <c r="B7" s="816"/>
      <c r="C7" s="816"/>
      <c r="D7" s="815"/>
      <c r="E7" s="815"/>
      <c r="F7" s="55" t="s">
        <v>9</v>
      </c>
      <c r="G7" s="55" t="s">
        <v>10</v>
      </c>
      <c r="H7" s="55" t="s">
        <v>10</v>
      </c>
      <c r="I7" s="812"/>
      <c r="J7" s="54"/>
    </row>
    <row r="8" spans="1:10" x14ac:dyDescent="0.25">
      <c r="A8" s="56"/>
      <c r="B8" s="808" t="s">
        <v>11</v>
      </c>
      <c r="C8" s="808"/>
      <c r="D8" s="808"/>
      <c r="E8" s="808"/>
      <c r="F8" s="808"/>
      <c r="G8" s="808"/>
      <c r="H8" s="808"/>
      <c r="I8" s="808"/>
    </row>
    <row r="9" spans="1:10" x14ac:dyDescent="0.25">
      <c r="A9" s="56">
        <v>1</v>
      </c>
      <c r="B9" s="57" t="s">
        <v>108</v>
      </c>
      <c r="C9" s="57" t="s">
        <v>12</v>
      </c>
      <c r="D9" s="804">
        <v>0.95</v>
      </c>
      <c r="E9" s="804"/>
      <c r="F9" s="58">
        <v>0.93</v>
      </c>
      <c r="G9" s="58">
        <v>1</v>
      </c>
      <c r="H9" s="58" t="s">
        <v>17</v>
      </c>
      <c r="I9" s="59">
        <v>10</v>
      </c>
    </row>
    <row r="10" spans="1:10" x14ac:dyDescent="0.25">
      <c r="A10" s="56">
        <v>2</v>
      </c>
      <c r="B10" s="57" t="s">
        <v>109</v>
      </c>
      <c r="C10" s="57" t="s">
        <v>13</v>
      </c>
      <c r="D10" s="804">
        <v>0.9</v>
      </c>
      <c r="E10" s="804"/>
      <c r="F10" s="58" t="s">
        <v>17</v>
      </c>
      <c r="G10" s="58" t="s">
        <v>17</v>
      </c>
      <c r="H10" s="58" t="s">
        <v>17</v>
      </c>
      <c r="I10" s="59">
        <v>10</v>
      </c>
    </row>
    <row r="11" spans="1:10" x14ac:dyDescent="0.25">
      <c r="A11" s="56"/>
      <c r="B11" s="808" t="s">
        <v>15</v>
      </c>
      <c r="C11" s="808"/>
      <c r="D11" s="808"/>
      <c r="E11" s="808"/>
      <c r="F11" s="808"/>
      <c r="G11" s="808"/>
      <c r="H11" s="808"/>
      <c r="I11" s="808"/>
    </row>
    <row r="12" spans="1:10" ht="30" x14ac:dyDescent="0.25">
      <c r="A12" s="56">
        <v>3</v>
      </c>
      <c r="B12" s="57" t="s">
        <v>16</v>
      </c>
      <c r="C12" s="57" t="s">
        <v>13</v>
      </c>
      <c r="D12" s="807">
        <v>1</v>
      </c>
      <c r="E12" s="807"/>
      <c r="F12" s="58" t="s">
        <v>14</v>
      </c>
      <c r="G12" s="58" t="s">
        <v>14</v>
      </c>
      <c r="H12" s="58" t="s">
        <v>17</v>
      </c>
      <c r="I12" s="60">
        <v>10</v>
      </c>
      <c r="J12" s="61" t="s">
        <v>75</v>
      </c>
    </row>
    <row r="13" spans="1:10" x14ac:dyDescent="0.25">
      <c r="A13" s="56">
        <v>4</v>
      </c>
      <c r="B13" s="57" t="s">
        <v>104</v>
      </c>
      <c r="C13" s="57" t="s">
        <v>13</v>
      </c>
      <c r="D13" s="62">
        <v>1</v>
      </c>
      <c r="E13" s="62" t="s">
        <v>17</v>
      </c>
      <c r="F13" s="58" t="s">
        <v>14</v>
      </c>
      <c r="G13" s="60" t="s">
        <v>17</v>
      </c>
      <c r="H13" s="60" t="s">
        <v>17</v>
      </c>
      <c r="I13" s="60">
        <v>6</v>
      </c>
      <c r="J13" t="s">
        <v>75</v>
      </c>
    </row>
    <row r="14" spans="1:10" x14ac:dyDescent="0.25">
      <c r="A14" s="56"/>
      <c r="B14" s="808" t="s">
        <v>18</v>
      </c>
      <c r="C14" s="808"/>
      <c r="D14" s="808"/>
      <c r="E14" s="808"/>
      <c r="F14" s="808"/>
      <c r="G14" s="808"/>
      <c r="H14" s="808"/>
      <c r="I14" s="808"/>
    </row>
    <row r="15" spans="1:10" ht="30" x14ac:dyDescent="0.25">
      <c r="A15" s="56">
        <v>5</v>
      </c>
      <c r="B15" s="57" t="s">
        <v>19</v>
      </c>
      <c r="C15" s="57" t="s">
        <v>13</v>
      </c>
      <c r="D15" s="63">
        <v>0.2</v>
      </c>
      <c r="E15" s="63">
        <v>0.3</v>
      </c>
      <c r="F15" s="64">
        <v>0.08</v>
      </c>
      <c r="G15" s="64">
        <v>0.19</v>
      </c>
      <c r="H15" s="64" t="s">
        <v>17</v>
      </c>
      <c r="I15" s="65">
        <v>10</v>
      </c>
      <c r="J15" t="s">
        <v>76</v>
      </c>
    </row>
    <row r="16" spans="1:10" ht="30" x14ac:dyDescent="0.25">
      <c r="A16" s="56">
        <v>6</v>
      </c>
      <c r="B16" s="57" t="s">
        <v>20</v>
      </c>
      <c r="C16" s="57" t="s">
        <v>13</v>
      </c>
      <c r="D16" s="63">
        <v>0.5</v>
      </c>
      <c r="E16" s="63">
        <v>0.3</v>
      </c>
      <c r="F16" s="64">
        <v>0.48</v>
      </c>
      <c r="G16" s="64">
        <v>0.25</v>
      </c>
      <c r="H16" s="64" t="s">
        <v>17</v>
      </c>
      <c r="I16" s="65">
        <v>10</v>
      </c>
      <c r="J16" s="66"/>
    </row>
    <row r="17" spans="1:10" ht="30" x14ac:dyDescent="0.25">
      <c r="A17" s="56">
        <v>7</v>
      </c>
      <c r="B17" s="57" t="s">
        <v>21</v>
      </c>
      <c r="C17" s="57" t="s">
        <v>13</v>
      </c>
      <c r="D17" s="807">
        <v>0.9</v>
      </c>
      <c r="E17" s="807"/>
      <c r="F17" s="64">
        <v>0.8</v>
      </c>
      <c r="G17" s="64">
        <v>1</v>
      </c>
      <c r="H17" s="64" t="s">
        <v>17</v>
      </c>
      <c r="I17" s="65">
        <v>10</v>
      </c>
    </row>
    <row r="18" spans="1:10" x14ac:dyDescent="0.25">
      <c r="A18" s="56"/>
      <c r="B18" s="808" t="s">
        <v>22</v>
      </c>
      <c r="C18" s="808"/>
      <c r="D18" s="808"/>
      <c r="E18" s="808"/>
      <c r="F18" s="808"/>
      <c r="G18" s="808"/>
      <c r="H18" s="808"/>
      <c r="I18" s="67"/>
    </row>
    <row r="19" spans="1:10" x14ac:dyDescent="0.25">
      <c r="A19" s="56">
        <v>8</v>
      </c>
      <c r="B19" s="57" t="s">
        <v>23</v>
      </c>
      <c r="C19" s="57" t="s">
        <v>13</v>
      </c>
      <c r="D19" s="62" t="s">
        <v>17</v>
      </c>
      <c r="E19" s="68">
        <v>0.35</v>
      </c>
      <c r="F19" s="69" t="s">
        <v>17</v>
      </c>
      <c r="G19" s="58">
        <v>0.11</v>
      </c>
      <c r="H19" s="69" t="s">
        <v>17</v>
      </c>
      <c r="I19" s="60">
        <v>6</v>
      </c>
      <c r="J19" t="s">
        <v>101</v>
      </c>
    </row>
    <row r="20" spans="1:10" x14ac:dyDescent="0.25">
      <c r="B20" s="806" t="s">
        <v>3</v>
      </c>
      <c r="C20" s="806"/>
      <c r="D20" s="806"/>
      <c r="E20" s="806"/>
      <c r="F20" s="70" t="s">
        <v>24</v>
      </c>
      <c r="G20" s="70" t="s">
        <v>24</v>
      </c>
      <c r="H20" s="70" t="s">
        <v>24</v>
      </c>
      <c r="I20" s="71"/>
    </row>
    <row r="21" spans="1:10" x14ac:dyDescent="0.25">
      <c r="A21" s="56"/>
      <c r="B21" s="817" t="s">
        <v>25</v>
      </c>
      <c r="C21" s="818"/>
      <c r="D21" s="818"/>
      <c r="E21" s="818"/>
      <c r="F21" s="818"/>
      <c r="G21" s="818"/>
      <c r="H21" s="818"/>
      <c r="I21" s="819"/>
    </row>
    <row r="22" spans="1:10" ht="32.25" x14ac:dyDescent="0.25">
      <c r="A22" s="56">
        <v>9</v>
      </c>
      <c r="B22" s="57" t="s">
        <v>110</v>
      </c>
      <c r="C22" s="57" t="s">
        <v>13</v>
      </c>
      <c r="D22" s="62">
        <v>0.9</v>
      </c>
      <c r="E22" s="62" t="s">
        <v>17</v>
      </c>
      <c r="F22" s="58"/>
      <c r="G22" s="58" t="s">
        <v>17</v>
      </c>
      <c r="H22" s="58" t="s">
        <v>17</v>
      </c>
      <c r="I22" s="59">
        <v>6</v>
      </c>
      <c r="J22" t="s">
        <v>77</v>
      </c>
    </row>
    <row r="23" spans="1:10" ht="17.25" x14ac:dyDescent="0.25">
      <c r="A23" s="56">
        <v>10</v>
      </c>
      <c r="B23" s="57" t="s">
        <v>111</v>
      </c>
      <c r="C23" s="57" t="s">
        <v>13</v>
      </c>
      <c r="D23" s="62" t="s">
        <v>17</v>
      </c>
      <c r="E23" s="62">
        <v>0.9</v>
      </c>
      <c r="F23" s="58" t="s">
        <v>17</v>
      </c>
      <c r="G23" s="58"/>
      <c r="H23" s="72" t="s">
        <v>17</v>
      </c>
      <c r="I23" s="59">
        <v>6</v>
      </c>
      <c r="J23" t="s">
        <v>77</v>
      </c>
    </row>
    <row r="24" spans="1:10" ht="17.25" x14ac:dyDescent="0.25">
      <c r="A24" s="56">
        <v>11</v>
      </c>
      <c r="B24" s="73" t="s">
        <v>112</v>
      </c>
      <c r="C24" s="57" t="s">
        <v>13</v>
      </c>
      <c r="D24" s="804" t="s">
        <v>26</v>
      </c>
      <c r="E24" s="804"/>
      <c r="F24" s="58"/>
      <c r="G24" s="58"/>
      <c r="H24" s="58" t="s">
        <v>17</v>
      </c>
      <c r="I24" s="59">
        <v>7</v>
      </c>
    </row>
    <row r="25" spans="1:10" ht="49.5" customHeight="1" x14ac:dyDescent="0.25">
      <c r="B25" s="813" t="s">
        <v>0</v>
      </c>
      <c r="C25" s="814" t="s">
        <v>1</v>
      </c>
      <c r="D25" s="813" t="s">
        <v>106</v>
      </c>
      <c r="E25" s="813"/>
      <c r="F25" s="813" t="s">
        <v>107</v>
      </c>
      <c r="G25" s="813"/>
      <c r="H25" s="813"/>
      <c r="I25" s="811" t="s">
        <v>2</v>
      </c>
    </row>
    <row r="26" spans="1:10" ht="15" customHeight="1" x14ac:dyDescent="0.25">
      <c r="B26" s="813"/>
      <c r="C26" s="814"/>
      <c r="D26" s="813"/>
      <c r="E26" s="813"/>
      <c r="F26" s="813"/>
      <c r="G26" s="813"/>
      <c r="H26" s="813"/>
      <c r="I26" s="811"/>
    </row>
    <row r="27" spans="1:10" ht="15" customHeight="1" x14ac:dyDescent="0.25">
      <c r="B27" s="813"/>
      <c r="C27" s="814"/>
      <c r="D27" s="813"/>
      <c r="E27" s="813"/>
      <c r="F27" s="813"/>
      <c r="G27" s="813"/>
      <c r="H27" s="813"/>
      <c r="I27" s="811"/>
    </row>
    <row r="28" spans="1:10" ht="15" customHeight="1" x14ac:dyDescent="0.25">
      <c r="B28" s="806" t="s">
        <v>27</v>
      </c>
      <c r="C28" s="806"/>
      <c r="D28" s="806"/>
      <c r="E28" s="806"/>
      <c r="F28" s="70" t="s">
        <v>24</v>
      </c>
      <c r="G28" s="70" t="s">
        <v>24</v>
      </c>
      <c r="H28" s="70" t="s">
        <v>24</v>
      </c>
      <c r="I28" s="71"/>
    </row>
    <row r="29" spans="1:10" x14ac:dyDescent="0.25">
      <c r="A29" s="56">
        <v>12</v>
      </c>
      <c r="B29" s="57" t="s">
        <v>28</v>
      </c>
      <c r="C29" s="57" t="s">
        <v>29</v>
      </c>
      <c r="D29" s="804" t="s">
        <v>30</v>
      </c>
      <c r="E29" s="804"/>
      <c r="F29" s="58"/>
      <c r="G29" s="58"/>
      <c r="H29" s="58" t="s">
        <v>17</v>
      </c>
      <c r="I29" s="60">
        <v>5</v>
      </c>
      <c r="J29" t="s">
        <v>78</v>
      </c>
    </row>
    <row r="30" spans="1:10" ht="23.25" customHeight="1" x14ac:dyDescent="0.25">
      <c r="A30" s="56">
        <v>13</v>
      </c>
      <c r="B30" s="57" t="s">
        <v>31</v>
      </c>
      <c r="C30" s="57" t="s">
        <v>32</v>
      </c>
      <c r="D30" s="804" t="s">
        <v>33</v>
      </c>
      <c r="E30" s="804"/>
      <c r="F30" s="58"/>
      <c r="G30" s="58"/>
      <c r="H30" s="58" t="s">
        <v>17</v>
      </c>
      <c r="I30" s="74">
        <v>5</v>
      </c>
      <c r="J30" t="s">
        <v>79</v>
      </c>
    </row>
    <row r="31" spans="1:10" ht="46.5" customHeight="1" x14ac:dyDescent="0.25">
      <c r="A31" s="56">
        <v>14</v>
      </c>
      <c r="B31" s="57" t="s">
        <v>34</v>
      </c>
      <c r="C31" s="57" t="s">
        <v>32</v>
      </c>
      <c r="D31" s="804" t="s">
        <v>35</v>
      </c>
      <c r="E31" s="804"/>
      <c r="F31" s="58"/>
      <c r="G31" s="58"/>
      <c r="H31" s="58" t="s">
        <v>17</v>
      </c>
      <c r="I31" s="74">
        <v>5</v>
      </c>
      <c r="J31" t="s">
        <v>80</v>
      </c>
    </row>
    <row r="32" spans="1:10" x14ac:dyDescent="0.25">
      <c r="B32" s="806" t="s">
        <v>36</v>
      </c>
      <c r="C32" s="806"/>
      <c r="D32" s="806"/>
      <c r="E32" s="806"/>
      <c r="F32" s="70" t="s">
        <v>24</v>
      </c>
      <c r="G32" s="70" t="s">
        <v>24</v>
      </c>
      <c r="H32" s="70" t="s">
        <v>24</v>
      </c>
      <c r="I32" s="71"/>
    </row>
    <row r="33" spans="1:10" ht="46.5" customHeight="1" x14ac:dyDescent="0.25">
      <c r="A33" s="56">
        <v>15</v>
      </c>
      <c r="B33" s="57" t="s">
        <v>37</v>
      </c>
      <c r="C33" s="57" t="s">
        <v>32</v>
      </c>
      <c r="D33" s="804" t="s">
        <v>38</v>
      </c>
      <c r="E33" s="804"/>
      <c r="F33" s="58"/>
      <c r="G33" s="58"/>
      <c r="H33" s="58" t="s">
        <v>17</v>
      </c>
      <c r="I33" s="60">
        <v>3</v>
      </c>
    </row>
    <row r="34" spans="1:10" ht="46.5" customHeight="1" x14ac:dyDescent="0.25">
      <c r="A34" s="56">
        <v>16</v>
      </c>
      <c r="B34" s="57" t="s">
        <v>39</v>
      </c>
      <c r="C34" s="57" t="s">
        <v>40</v>
      </c>
      <c r="D34" s="804" t="s">
        <v>41</v>
      </c>
      <c r="E34" s="804"/>
      <c r="F34" s="58"/>
      <c r="G34" s="58"/>
      <c r="H34" s="58" t="s">
        <v>17</v>
      </c>
      <c r="I34" s="60">
        <v>3</v>
      </c>
    </row>
    <row r="35" spans="1:10" x14ac:dyDescent="0.25">
      <c r="A35" s="56"/>
      <c r="B35" s="805" t="s">
        <v>42</v>
      </c>
      <c r="C35" s="805"/>
      <c r="D35" s="805"/>
      <c r="E35" s="805"/>
      <c r="F35" s="75">
        <v>100</v>
      </c>
      <c r="G35" s="75">
        <v>100</v>
      </c>
      <c r="H35" s="75">
        <v>100</v>
      </c>
      <c r="I35" s="76">
        <v>112</v>
      </c>
    </row>
    <row r="36" spans="1:10" x14ac:dyDescent="0.25">
      <c r="A36" s="56"/>
      <c r="B36" s="77"/>
      <c r="C36" s="77"/>
      <c r="D36" s="78"/>
      <c r="E36" s="78"/>
      <c r="F36" s="79"/>
      <c r="G36" s="79"/>
      <c r="H36" s="79"/>
      <c r="I36" s="80">
        <v>100</v>
      </c>
      <c r="J36" t="s">
        <v>6</v>
      </c>
    </row>
    <row r="37" spans="1:10" x14ac:dyDescent="0.25">
      <c r="A37" s="56"/>
      <c r="B37" s="77"/>
      <c r="C37" s="77"/>
      <c r="D37" s="78"/>
      <c r="E37" s="78"/>
      <c r="F37" s="79"/>
      <c r="G37" s="79"/>
      <c r="H37" s="79"/>
      <c r="I37" s="80">
        <v>100</v>
      </c>
      <c r="J37" t="s">
        <v>5</v>
      </c>
    </row>
    <row r="38" spans="1:10" x14ac:dyDescent="0.25">
      <c r="C38"/>
      <c r="H38"/>
      <c r="I38" s="49"/>
    </row>
    <row r="39" spans="1:10" ht="14.45" customHeight="1" x14ac:dyDescent="0.25">
      <c r="B39" s="803" t="s">
        <v>113</v>
      </c>
      <c r="C39" s="803"/>
      <c r="D39" s="803"/>
      <c r="E39" s="803"/>
      <c r="F39" s="803"/>
      <c r="H39"/>
      <c r="I39" s="49"/>
    </row>
    <row r="40" spans="1:10" x14ac:dyDescent="0.25">
      <c r="B40" s="81"/>
      <c r="C40" s="81"/>
      <c r="D40" s="81"/>
      <c r="E40" s="81"/>
      <c r="F40" s="81"/>
      <c r="H40"/>
      <c r="I40" s="49"/>
    </row>
    <row r="41" spans="1:10" x14ac:dyDescent="0.25">
      <c r="B41" s="803"/>
      <c r="C41" s="803"/>
      <c r="D41" s="803"/>
      <c r="E41" s="803"/>
      <c r="F41" s="803"/>
      <c r="H41"/>
      <c r="I41" s="49"/>
    </row>
    <row r="42" spans="1:10" x14ac:dyDescent="0.25">
      <c r="C42"/>
      <c r="H42"/>
      <c r="I42" s="49"/>
    </row>
    <row r="43" spans="1:10" x14ac:dyDescent="0.25">
      <c r="C43"/>
      <c r="H43"/>
      <c r="I43" s="49"/>
    </row>
    <row r="44" spans="1:10" x14ac:dyDescent="0.25">
      <c r="C44"/>
      <c r="H44"/>
      <c r="I44" s="49"/>
    </row>
    <row r="45" spans="1:10" x14ac:dyDescent="0.25">
      <c r="C45"/>
      <c r="H45"/>
      <c r="I45" s="49"/>
    </row>
    <row r="46" spans="1:10" x14ac:dyDescent="0.25">
      <c r="C46"/>
      <c r="H46"/>
      <c r="I46" s="49"/>
    </row>
    <row r="47" spans="1:10" x14ac:dyDescent="0.25">
      <c r="C47"/>
      <c r="H47"/>
      <c r="I47" s="49"/>
    </row>
    <row r="48" spans="1:10" x14ac:dyDescent="0.25">
      <c r="C48"/>
      <c r="H48"/>
      <c r="I48" s="49"/>
    </row>
    <row r="49" spans="8:9" x14ac:dyDescent="0.25">
      <c r="H49" s="49"/>
      <c r="I49" s="49"/>
    </row>
    <row r="50" spans="8:9" x14ac:dyDescent="0.25">
      <c r="H50" s="49"/>
      <c r="I50" s="49"/>
    </row>
    <row r="51" spans="8:9" x14ac:dyDescent="0.25">
      <c r="H51" s="49"/>
      <c r="I51" s="49"/>
    </row>
    <row r="52" spans="8:9" x14ac:dyDescent="0.25">
      <c r="H52" s="49"/>
      <c r="I52" s="49"/>
    </row>
    <row r="53" spans="8:9" x14ac:dyDescent="0.25">
      <c r="H53" s="49"/>
      <c r="I53" s="49"/>
    </row>
    <row r="54" spans="8:9" x14ac:dyDescent="0.25">
      <c r="H54" s="49"/>
      <c r="I54" s="49"/>
    </row>
    <row r="55" spans="8:9" x14ac:dyDescent="0.25">
      <c r="H55" s="49"/>
      <c r="I55" s="49"/>
    </row>
    <row r="56" spans="8:9" x14ac:dyDescent="0.25">
      <c r="H56" s="49"/>
      <c r="I56" s="49"/>
    </row>
    <row r="57" spans="8:9" x14ac:dyDescent="0.25">
      <c r="H57" s="49"/>
      <c r="I57" s="49"/>
    </row>
    <row r="58" spans="8:9" x14ac:dyDescent="0.25">
      <c r="H58" s="49"/>
      <c r="I58" s="49"/>
    </row>
    <row r="59" spans="8:9" x14ac:dyDescent="0.25">
      <c r="H59" s="49"/>
      <c r="I59" s="49"/>
    </row>
    <row r="60" spans="8:9" x14ac:dyDescent="0.25">
      <c r="H60" s="49"/>
      <c r="I60" s="49"/>
    </row>
    <row r="61" spans="8:9" x14ac:dyDescent="0.25">
      <c r="H61" s="49"/>
      <c r="I61" s="49"/>
    </row>
    <row r="62" spans="8:9" x14ac:dyDescent="0.25">
      <c r="H62" s="49"/>
      <c r="I62" s="49"/>
    </row>
    <row r="63" spans="8:9" x14ac:dyDescent="0.25">
      <c r="H63" s="49"/>
      <c r="I63" s="49"/>
    </row>
    <row r="64" spans="8:9" x14ac:dyDescent="0.25">
      <c r="H64" s="49"/>
      <c r="I64" s="49"/>
    </row>
    <row r="65" spans="8:9" x14ac:dyDescent="0.25">
      <c r="H65" s="49"/>
      <c r="I65" s="49"/>
    </row>
    <row r="66" spans="8:9" x14ac:dyDescent="0.25">
      <c r="H66" s="49"/>
      <c r="I66" s="49"/>
    </row>
    <row r="67" spans="8:9" x14ac:dyDescent="0.25">
      <c r="H67" s="49"/>
      <c r="I67" s="49"/>
    </row>
    <row r="68" spans="8:9" x14ac:dyDescent="0.25">
      <c r="H68" s="49"/>
      <c r="I68" s="49"/>
    </row>
    <row r="69" spans="8:9" x14ac:dyDescent="0.25">
      <c r="H69" s="49"/>
      <c r="I69" s="49"/>
    </row>
    <row r="70" spans="8:9" x14ac:dyDescent="0.25">
      <c r="H70" s="49"/>
      <c r="I70" s="49"/>
    </row>
    <row r="71" spans="8:9" x14ac:dyDescent="0.25">
      <c r="H71" s="49"/>
      <c r="I71" s="49"/>
    </row>
    <row r="72" spans="8:9" x14ac:dyDescent="0.25">
      <c r="H72" s="49"/>
      <c r="I72" s="49"/>
    </row>
    <row r="73" spans="8:9" x14ac:dyDescent="0.25">
      <c r="H73" s="49"/>
      <c r="I73" s="49"/>
    </row>
    <row r="74" spans="8:9" x14ac:dyDescent="0.25">
      <c r="H74" s="49"/>
      <c r="I74" s="49"/>
    </row>
    <row r="75" spans="8:9" x14ac:dyDescent="0.25">
      <c r="H75" s="49"/>
      <c r="I75" s="49"/>
    </row>
    <row r="76" spans="8:9" x14ac:dyDescent="0.25">
      <c r="H76" s="49"/>
      <c r="I76" s="49"/>
    </row>
    <row r="77" spans="8:9" x14ac:dyDescent="0.25">
      <c r="H77" s="49"/>
      <c r="I77" s="49"/>
    </row>
    <row r="78" spans="8:9" x14ac:dyDescent="0.25">
      <c r="H78" s="49"/>
      <c r="I78" s="49"/>
    </row>
    <row r="79" spans="8:9" x14ac:dyDescent="0.25">
      <c r="H79" s="49"/>
      <c r="I79" s="49"/>
    </row>
    <row r="80" spans="8:9" x14ac:dyDescent="0.25">
      <c r="H80" s="49"/>
      <c r="I80" s="49"/>
    </row>
    <row r="81" spans="8:9" x14ac:dyDescent="0.25">
      <c r="H81" s="49"/>
      <c r="I81" s="49"/>
    </row>
    <row r="82" spans="8:9" x14ac:dyDescent="0.25">
      <c r="H82" s="49"/>
      <c r="I82" s="49"/>
    </row>
    <row r="83" spans="8:9" x14ac:dyDescent="0.25">
      <c r="H83" s="49"/>
      <c r="I83" s="49"/>
    </row>
    <row r="84" spans="8:9" x14ac:dyDescent="0.25">
      <c r="H84" s="49"/>
      <c r="I84" s="49"/>
    </row>
    <row r="85" spans="8:9" x14ac:dyDescent="0.25">
      <c r="H85" s="49"/>
      <c r="I85" s="49"/>
    </row>
    <row r="86" spans="8:9" x14ac:dyDescent="0.25">
      <c r="H86" s="49"/>
      <c r="I86" s="49"/>
    </row>
    <row r="87" spans="8:9" x14ac:dyDescent="0.25">
      <c r="H87" s="49"/>
      <c r="I87" s="49"/>
    </row>
    <row r="88" spans="8:9" x14ac:dyDescent="0.25">
      <c r="H88" s="49"/>
      <c r="I88" s="49"/>
    </row>
    <row r="89" spans="8:9" x14ac:dyDescent="0.25">
      <c r="H89" s="49"/>
      <c r="I89" s="49"/>
    </row>
    <row r="90" spans="8:9" x14ac:dyDescent="0.25">
      <c r="H90" s="49"/>
      <c r="I90" s="49"/>
    </row>
    <row r="91" spans="8:9" x14ac:dyDescent="0.25">
      <c r="H91" s="49"/>
      <c r="I91" s="49"/>
    </row>
    <row r="92" spans="8:9" x14ac:dyDescent="0.25">
      <c r="H92" s="49"/>
      <c r="I92" s="49"/>
    </row>
    <row r="93" spans="8:9" x14ac:dyDescent="0.25">
      <c r="H93" s="49"/>
      <c r="I93" s="49"/>
    </row>
    <row r="94" spans="8:9" x14ac:dyDescent="0.25">
      <c r="H94" s="49"/>
      <c r="I94" s="49"/>
    </row>
    <row r="95" spans="8:9" x14ac:dyDescent="0.25">
      <c r="H95" s="49"/>
      <c r="I95" s="49"/>
    </row>
    <row r="96" spans="8:9" x14ac:dyDescent="0.25">
      <c r="H96" s="49"/>
      <c r="I96" s="49"/>
    </row>
    <row r="97" spans="8:9" x14ac:dyDescent="0.25">
      <c r="H97" s="49"/>
      <c r="I97" s="49"/>
    </row>
    <row r="98" spans="8:9" x14ac:dyDescent="0.25">
      <c r="H98" s="49"/>
      <c r="I98" s="49"/>
    </row>
  </sheetData>
  <mergeCells count="36">
    <mergeCell ref="B28:E28"/>
    <mergeCell ref="B20:E20"/>
    <mergeCell ref="F25:H27"/>
    <mergeCell ref="D24:E24"/>
    <mergeCell ref="B25:B27"/>
    <mergeCell ref="D25:E27"/>
    <mergeCell ref="B21:I21"/>
    <mergeCell ref="C25:C27"/>
    <mergeCell ref="I25:I27"/>
    <mergeCell ref="B2:I2"/>
    <mergeCell ref="I3:I5"/>
    <mergeCell ref="D9:E9"/>
    <mergeCell ref="B8:I8"/>
    <mergeCell ref="I6:I7"/>
    <mergeCell ref="B3:B5"/>
    <mergeCell ref="D3:E5"/>
    <mergeCell ref="F3:H5"/>
    <mergeCell ref="C3:C5"/>
    <mergeCell ref="D6:D7"/>
    <mergeCell ref="E6:E7"/>
    <mergeCell ref="B6:C7"/>
    <mergeCell ref="D10:E10"/>
    <mergeCell ref="D12:E12"/>
    <mergeCell ref="B18:H18"/>
    <mergeCell ref="B11:I11"/>
    <mergeCell ref="B14:I14"/>
    <mergeCell ref="D17:E17"/>
    <mergeCell ref="B39:F39"/>
    <mergeCell ref="B41:F41"/>
    <mergeCell ref="D31:E31"/>
    <mergeCell ref="D33:E33"/>
    <mergeCell ref="D29:E29"/>
    <mergeCell ref="D30:E30"/>
    <mergeCell ref="D34:E34"/>
    <mergeCell ref="B35:E35"/>
    <mergeCell ref="B32:E32"/>
  </mergeCells>
  <pageMargins left="0.25" right="0.25" top="0.75" bottom="0.75" header="0.3" footer="0.3"/>
  <pageSetup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Y56"/>
  <sheetViews>
    <sheetView workbookViewId="0"/>
  </sheetViews>
  <sheetFormatPr defaultColWidth="9.42578125" defaultRowHeight="15.75" x14ac:dyDescent="0.25"/>
  <cols>
    <col min="1" max="1" width="3.42578125" customWidth="1"/>
    <col min="2" max="6" width="4" hidden="1" customWidth="1"/>
    <col min="7" max="7" width="10.5703125" hidden="1" customWidth="1"/>
    <col min="8" max="8" width="4" hidden="1" customWidth="1"/>
    <col min="9" max="9" width="5.42578125" style="1" customWidth="1"/>
    <col min="10" max="12" width="17.42578125" customWidth="1"/>
    <col min="13" max="13" width="19.5703125" customWidth="1"/>
    <col min="14" max="14" width="17.42578125" customWidth="1"/>
    <col min="15" max="15" width="25.5703125" customWidth="1"/>
    <col min="16" max="16" width="21.42578125" customWidth="1"/>
    <col min="17" max="17" width="15.42578125" customWidth="1"/>
    <col min="18" max="18" width="15.5703125" customWidth="1"/>
    <col min="19" max="19" width="0.5703125" customWidth="1"/>
    <col min="20" max="20" width="3.42578125" customWidth="1"/>
    <col min="23" max="23" width="13.42578125" customWidth="1"/>
    <col min="24" max="24" width="54.42578125" customWidth="1"/>
    <col min="25" max="25" width="57" customWidth="1"/>
  </cols>
  <sheetData>
    <row r="1" spans="1:25" ht="18.75" x14ac:dyDescent="0.3">
      <c r="P1" s="47" t="s">
        <v>102</v>
      </c>
      <c r="Q1" t="s">
        <v>43</v>
      </c>
    </row>
    <row r="2" spans="1:25" x14ac:dyDescent="0.25">
      <c r="A2" s="2"/>
      <c r="B2" s="2"/>
      <c r="C2" s="2"/>
      <c r="D2" s="2"/>
      <c r="E2" s="2"/>
      <c r="F2" s="2"/>
      <c r="G2" s="2"/>
      <c r="H2" s="2"/>
      <c r="I2" s="3"/>
      <c r="J2" s="2"/>
      <c r="K2" s="2"/>
      <c r="L2" s="2"/>
      <c r="M2" s="2"/>
      <c r="N2" s="2"/>
      <c r="O2" s="2"/>
      <c r="P2" s="2"/>
      <c r="Q2" s="2"/>
      <c r="R2" s="2"/>
      <c r="S2" s="2"/>
      <c r="T2" s="2"/>
    </row>
    <row r="3" spans="1:25" ht="23.25" x14ac:dyDescent="0.35">
      <c r="A3" s="2"/>
      <c r="J3" s="843" t="s">
        <v>93</v>
      </c>
      <c r="K3" s="843"/>
      <c r="L3" s="843"/>
      <c r="M3" s="843"/>
      <c r="N3" s="843"/>
      <c r="O3" s="843"/>
      <c r="P3" s="843"/>
      <c r="Q3" s="843"/>
      <c r="R3" s="843"/>
      <c r="S3" s="4"/>
      <c r="T3" s="5"/>
    </row>
    <row r="4" spans="1:25" ht="6" customHeight="1" x14ac:dyDescent="0.3">
      <c r="A4" s="2"/>
      <c r="J4" s="6"/>
      <c r="K4" s="6"/>
      <c r="L4" s="6"/>
      <c r="M4" s="6"/>
      <c r="N4" s="6"/>
      <c r="O4" s="6"/>
      <c r="P4" s="6"/>
      <c r="Q4" s="6"/>
      <c r="R4" s="6"/>
      <c r="S4" s="7"/>
      <c r="T4" s="8"/>
    </row>
    <row r="5" spans="1:25" ht="18.75" x14ac:dyDescent="0.3">
      <c r="A5" s="2"/>
      <c r="B5" t="e">
        <f>#REF!</f>
        <v>#REF!</v>
      </c>
      <c r="G5" t="e">
        <f>#REF!</f>
        <v>#REF!</v>
      </c>
      <c r="K5" s="9" t="s">
        <v>44</v>
      </c>
      <c r="L5" s="7" t="e">
        <f>VLOOKUP($P$1,#REF!,B5,FALSE)</f>
        <v>#REF!</v>
      </c>
      <c r="M5" s="7"/>
      <c r="N5" s="7"/>
      <c r="O5" s="7"/>
      <c r="P5" s="10" t="s">
        <v>45</v>
      </c>
      <c r="Q5" s="7" t="e">
        <f>VLOOKUP($P$1,#REF!,G5,FALSE)</f>
        <v>#REF!</v>
      </c>
      <c r="S5" s="7"/>
      <c r="T5" s="8"/>
    </row>
    <row r="6" spans="1:25" ht="18.75" hidden="1" x14ac:dyDescent="0.3">
      <c r="A6" s="2"/>
      <c r="B6" t="e">
        <f>#REF!</f>
        <v>#REF!</v>
      </c>
      <c r="G6" t="e">
        <f>#REF!</f>
        <v>#REF!</v>
      </c>
      <c r="K6" s="9" t="s">
        <v>46</v>
      </c>
      <c r="L6" s="7" t="e">
        <f>VLOOKUP($P$1,#REF!,B6,FALSE)</f>
        <v>#REF!</v>
      </c>
      <c r="M6" s="7"/>
      <c r="N6" s="7"/>
      <c r="O6" s="7"/>
      <c r="S6" s="7"/>
      <c r="T6" s="8"/>
    </row>
    <row r="7" spans="1:25" ht="18.75" x14ac:dyDescent="0.3">
      <c r="A7" s="2"/>
      <c r="B7" t="e">
        <f>#REF!</f>
        <v>#REF!</v>
      </c>
      <c r="G7" t="e">
        <f>#REF!</f>
        <v>#REF!</v>
      </c>
      <c r="K7" s="9" t="s">
        <v>48</v>
      </c>
      <c r="L7" s="7" t="e">
        <f>VLOOKUP($P$1,#REF!,B7,FALSE)</f>
        <v>#REF!</v>
      </c>
      <c r="M7" s="7"/>
      <c r="N7" s="7"/>
      <c r="O7" s="7"/>
      <c r="P7" s="10" t="s">
        <v>47</v>
      </c>
      <c r="Q7" s="38" t="e">
        <f>VLOOKUP($P$1,#REF!,G6,FALSE)</f>
        <v>#REF!</v>
      </c>
      <c r="S7" s="7"/>
      <c r="T7" s="8"/>
    </row>
    <row r="8" spans="1:25" ht="18.75" x14ac:dyDescent="0.3">
      <c r="A8" s="2"/>
      <c r="G8" t="e">
        <f>#REF!</f>
        <v>#REF!</v>
      </c>
      <c r="K8" s="10" t="s">
        <v>50</v>
      </c>
      <c r="L8" s="7" t="e">
        <f>VLOOKUP($P$1,#REF!,G8,FALSE)</f>
        <v>#REF!</v>
      </c>
      <c r="N8" s="7"/>
      <c r="P8" s="11" t="s">
        <v>49</v>
      </c>
      <c r="Q8" s="38" t="e">
        <f>VLOOKUP($P$1,#REF!,G7,FALSE)</f>
        <v>#REF!</v>
      </c>
      <c r="S8" s="7"/>
      <c r="T8" s="8"/>
    </row>
    <row r="9" spans="1:25" ht="5.25" customHeight="1" x14ac:dyDescent="0.25">
      <c r="A9" s="2"/>
      <c r="T9" s="2"/>
    </row>
    <row r="10" spans="1:25" ht="18.75" x14ac:dyDescent="0.3">
      <c r="A10" s="2"/>
      <c r="B10" t="e">
        <f>#REF!</f>
        <v>#REF!</v>
      </c>
      <c r="D10" s="12" t="e">
        <f>#REF!</f>
        <v>#REF!</v>
      </c>
      <c r="E10" s="12"/>
      <c r="F10" s="12"/>
      <c r="G10" t="e">
        <f>#REF!</f>
        <v>#REF!</v>
      </c>
      <c r="K10" s="9" t="s">
        <v>51</v>
      </c>
      <c r="L10" s="6" t="e">
        <f>VLOOKUP($P$1,#REF!,B10,FALSE)</f>
        <v>#REF!</v>
      </c>
      <c r="M10" s="10" t="s">
        <v>52</v>
      </c>
      <c r="N10" s="6" t="e">
        <f>VLOOKUP($P$1,#REF!,D10,FALSE)</f>
        <v>#REF!</v>
      </c>
      <c r="P10" s="11" t="s">
        <v>53</v>
      </c>
      <c r="Q10" s="6" t="e">
        <f>VLOOKUP($P$1,#REF!,G10,FALSE)</f>
        <v>#REF!</v>
      </c>
      <c r="S10" s="7"/>
      <c r="T10" s="8"/>
    </row>
    <row r="11" spans="1:25" ht="18.75" x14ac:dyDescent="0.3">
      <c r="A11" s="2"/>
      <c r="B11" t="e">
        <f>#REF!</f>
        <v>#REF!</v>
      </c>
      <c r="D11" t="e">
        <f>#REF!</f>
        <v>#REF!</v>
      </c>
      <c r="G11" t="e">
        <f>#REF!</f>
        <v>#REF!</v>
      </c>
      <c r="K11" s="9" t="s">
        <v>54</v>
      </c>
      <c r="L11" s="6" t="e">
        <f>VLOOKUP($P$1,#REF!,B11,FALSE)</f>
        <v>#REF!</v>
      </c>
      <c r="M11" s="10" t="s">
        <v>55</v>
      </c>
      <c r="N11" s="6" t="e">
        <f>VLOOKUP($P$1,#REF!,D11,FALSE)</f>
        <v>#REF!</v>
      </c>
      <c r="P11" s="11" t="s">
        <v>56</v>
      </c>
      <c r="Q11" s="6" t="e">
        <f>VLOOKUP($P$1,#REF!,G11,FALSE)</f>
        <v>#REF!</v>
      </c>
      <c r="S11" s="7"/>
      <c r="T11" s="8"/>
    </row>
    <row r="12" spans="1:25" ht="3.75" customHeight="1" x14ac:dyDescent="0.25">
      <c r="A12" s="2"/>
      <c r="T12" s="2"/>
    </row>
    <row r="13" spans="1:25" x14ac:dyDescent="0.25">
      <c r="A13" s="2"/>
      <c r="J13" s="844" t="s">
        <v>0</v>
      </c>
      <c r="K13" s="845"/>
      <c r="L13" s="845"/>
      <c r="M13" s="845"/>
      <c r="N13" s="846"/>
      <c r="O13" s="853" t="s">
        <v>57</v>
      </c>
      <c r="P13" s="855" t="s">
        <v>58</v>
      </c>
      <c r="Q13" s="855" t="s">
        <v>59</v>
      </c>
      <c r="R13" s="857" t="s">
        <v>60</v>
      </c>
      <c r="T13" s="2"/>
    </row>
    <row r="14" spans="1:25" x14ac:dyDescent="0.25">
      <c r="A14" s="2"/>
      <c r="J14" s="847"/>
      <c r="K14" s="848"/>
      <c r="L14" s="848"/>
      <c r="M14" s="848"/>
      <c r="N14" s="849"/>
      <c r="O14" s="854"/>
      <c r="P14" s="856"/>
      <c r="Q14" s="856"/>
      <c r="R14" s="858"/>
      <c r="T14" s="2"/>
    </row>
    <row r="15" spans="1:25" x14ac:dyDescent="0.25">
      <c r="A15" s="2"/>
      <c r="J15" s="850"/>
      <c r="K15" s="851"/>
      <c r="L15" s="851"/>
      <c r="M15" s="851"/>
      <c r="N15" s="852"/>
      <c r="O15" s="13" t="s">
        <v>95</v>
      </c>
      <c r="P15" s="856"/>
      <c r="Q15" s="856"/>
      <c r="R15" s="858"/>
      <c r="T15" s="2"/>
    </row>
    <row r="16" spans="1:25" ht="18.75" x14ac:dyDescent="0.3">
      <c r="A16" s="2"/>
      <c r="J16" s="829" t="s">
        <v>61</v>
      </c>
      <c r="K16" s="830"/>
      <c r="L16" s="830"/>
      <c r="M16" s="830"/>
      <c r="N16" s="830"/>
      <c r="O16" s="830"/>
      <c r="P16" s="830"/>
      <c r="Q16" s="830"/>
      <c r="R16" s="831"/>
      <c r="T16" s="2"/>
      <c r="W16" t="s">
        <v>62</v>
      </c>
      <c r="X16" t="s">
        <v>63</v>
      </c>
      <c r="Y16" t="s">
        <v>86</v>
      </c>
    </row>
    <row r="17" spans="1:25" ht="18.75" x14ac:dyDescent="0.25">
      <c r="A17" s="2"/>
      <c r="J17" s="840" t="s">
        <v>11</v>
      </c>
      <c r="K17" s="841"/>
      <c r="L17" s="841"/>
      <c r="M17" s="841"/>
      <c r="N17" s="841"/>
      <c r="O17" s="841"/>
      <c r="P17" s="841"/>
      <c r="Q17" s="841"/>
      <c r="R17" s="842"/>
      <c r="T17" s="2"/>
      <c r="W17" s="14" t="e">
        <f>#REF!</f>
        <v>#REF!</v>
      </c>
      <c r="X17" s="15" t="e">
        <f>IF(#REF!="","",#REF!)</f>
        <v>#REF!</v>
      </c>
      <c r="Y17" s="15" t="e">
        <f>IF(#REF!="","",#REF!)</f>
        <v>#REF!</v>
      </c>
    </row>
    <row r="18" spans="1:25" ht="23.25" x14ac:dyDescent="0.25">
      <c r="A18" s="2"/>
      <c r="B18" t="e">
        <f>#REF!</f>
        <v>#REF!</v>
      </c>
      <c r="C18" t="e">
        <f>#REF!</f>
        <v>#REF!</v>
      </c>
      <c r="I18" s="1">
        <v>1</v>
      </c>
      <c r="J18" s="826" t="s">
        <v>89</v>
      </c>
      <c r="K18" s="827"/>
      <c r="L18" s="827"/>
      <c r="M18" s="827"/>
      <c r="N18" s="828"/>
      <c r="O18" s="29">
        <v>0.95</v>
      </c>
      <c r="P18" s="39" t="e">
        <f>VLOOKUP(P$1,#REF!,B18,FALSE)</f>
        <v>#REF!</v>
      </c>
      <c r="Q18" s="18" t="e">
        <f>IF(R18="N/A","N/A",10)</f>
        <v>#REF!</v>
      </c>
      <c r="R18" s="34" t="e">
        <f>IF(P18="N/A","N/A",VLOOKUP(P$1,#REF!,C18,FALSE))</f>
        <v>#REF!</v>
      </c>
      <c r="T18" s="2"/>
      <c r="W18" s="14" t="e">
        <f>#REF!</f>
        <v>#REF!</v>
      </c>
      <c r="X18" s="15" t="e">
        <f>IF(#REF!="","",#REF!)</f>
        <v>#REF!</v>
      </c>
      <c r="Y18" s="15" t="e">
        <f>IF(#REF!="","",#REF!)</f>
        <v>#REF!</v>
      </c>
    </row>
    <row r="19" spans="1:25" ht="23.25" x14ac:dyDescent="0.25">
      <c r="A19" s="2"/>
      <c r="B19" t="e">
        <f>#REF!</f>
        <v>#REF!</v>
      </c>
      <c r="C19" t="e">
        <f>#REF!</f>
        <v>#REF!</v>
      </c>
      <c r="I19" s="1">
        <v>2</v>
      </c>
      <c r="J19" s="859" t="s">
        <v>87</v>
      </c>
      <c r="K19" s="860"/>
      <c r="L19" s="860"/>
      <c r="M19" s="860"/>
      <c r="N19" s="861"/>
      <c r="O19" s="35">
        <v>0.9</v>
      </c>
      <c r="P19" s="39" t="e">
        <f>VLOOKUP(P$1,#REF!,B19,FALSE)</f>
        <v>#REF!</v>
      </c>
      <c r="Q19" s="18" t="e">
        <f>IF(R19="N/A","N/A",10)</f>
        <v>#REF!</v>
      </c>
      <c r="R19" s="34" t="e">
        <f>IF(P19="N/A","N/A",VLOOKUP(P$1,#REF!,C19,FALSE))</f>
        <v>#REF!</v>
      </c>
      <c r="T19" s="2"/>
      <c r="W19" s="14" t="e">
        <f>#REF!</f>
        <v>#REF!</v>
      </c>
      <c r="X19" s="15" t="e">
        <f>IF(#REF!="","",#REF!)</f>
        <v>#REF!</v>
      </c>
      <c r="Y19" s="15" t="e">
        <f>IF(#REF!="","",#REF!)</f>
        <v>#REF!</v>
      </c>
    </row>
    <row r="20" spans="1:25" ht="18.75" x14ac:dyDescent="0.25">
      <c r="A20" s="2"/>
      <c r="J20" s="840" t="s">
        <v>15</v>
      </c>
      <c r="K20" s="841"/>
      <c r="L20" s="841"/>
      <c r="M20" s="841"/>
      <c r="N20" s="841"/>
      <c r="O20" s="841"/>
      <c r="P20" s="841"/>
      <c r="Q20" s="841"/>
      <c r="R20" s="842"/>
      <c r="T20" s="2"/>
      <c r="W20" s="14" t="e">
        <f>#REF!</f>
        <v>#REF!</v>
      </c>
      <c r="X20" s="15" t="e">
        <f>IF(#REF!="","",#REF!)</f>
        <v>#REF!</v>
      </c>
      <c r="Y20" s="15" t="e">
        <f>IF(#REF!="","",#REF!)</f>
        <v>#REF!</v>
      </c>
    </row>
    <row r="21" spans="1:25" ht="33.75" customHeight="1" x14ac:dyDescent="0.25">
      <c r="A21" s="2"/>
      <c r="B21" t="e">
        <f>#REF!</f>
        <v>#REF!</v>
      </c>
      <c r="C21" t="e">
        <f>#REF!</f>
        <v>#REF!</v>
      </c>
      <c r="I21" s="1">
        <v>3</v>
      </c>
      <c r="J21" s="826" t="s">
        <v>64</v>
      </c>
      <c r="K21" s="827"/>
      <c r="L21" s="827"/>
      <c r="M21" s="827"/>
      <c r="N21" s="828"/>
      <c r="O21" s="19">
        <v>1</v>
      </c>
      <c r="P21" s="39" t="e">
        <f>VLOOKUP(P$1,#REF!,B21,FALSE)</f>
        <v>#REF!</v>
      </c>
      <c r="Q21" s="18" t="e">
        <f>IF(R21="N/A","N/A",10)</f>
        <v>#REF!</v>
      </c>
      <c r="R21" s="34" t="e">
        <f>IF(P21="N/A","N/A",VLOOKUP(P$1,#REF!,C21,FALSE))</f>
        <v>#REF!</v>
      </c>
      <c r="T21" s="2"/>
      <c r="W21" s="14" t="e">
        <f>#REF!</f>
        <v>#REF!</v>
      </c>
      <c r="X21" s="15" t="e">
        <f>IF(#REF!="","",#REF!)</f>
        <v>#REF!</v>
      </c>
      <c r="Y21" s="15" t="e">
        <f>IF(#REF!="","",#REF!)</f>
        <v>#REF!</v>
      </c>
    </row>
    <row r="22" spans="1:25" ht="33.75" customHeight="1" x14ac:dyDescent="0.25">
      <c r="A22" s="2"/>
      <c r="B22" t="e">
        <f>#REF!</f>
        <v>#REF!</v>
      </c>
      <c r="C22" t="e">
        <f>#REF!</f>
        <v>#REF!</v>
      </c>
      <c r="I22" s="1">
        <v>4</v>
      </c>
      <c r="J22" s="826" t="s">
        <v>103</v>
      </c>
      <c r="K22" s="827"/>
      <c r="L22" s="827"/>
      <c r="M22" s="827"/>
      <c r="N22" s="828"/>
      <c r="O22" s="19">
        <v>1</v>
      </c>
      <c r="P22" s="39" t="e">
        <f>VLOOKUP(P$1,#REF!,B22,FALSE)</f>
        <v>#REF!</v>
      </c>
      <c r="Q22" s="18" t="e">
        <f>IF(R22="N/A","N/A",6)</f>
        <v>#REF!</v>
      </c>
      <c r="R22" s="34" t="e">
        <f>IF(P22="N/A","N/A",VLOOKUP(P$1,#REF!,C22,FALSE))</f>
        <v>#REF!</v>
      </c>
      <c r="T22" s="2"/>
      <c r="W22" s="14" t="e">
        <f>#REF!</f>
        <v>#REF!</v>
      </c>
      <c r="X22" s="15" t="e">
        <f>IF(#REF!="","",#REF!)</f>
        <v>#REF!</v>
      </c>
      <c r="Y22" s="15" t="e">
        <f>IF(#REF!="","",#REF!)</f>
        <v>#REF!</v>
      </c>
    </row>
    <row r="23" spans="1:25" ht="23.25" customHeight="1" x14ac:dyDescent="0.25">
      <c r="A23" s="2"/>
      <c r="J23" s="840" t="s">
        <v>18</v>
      </c>
      <c r="K23" s="841"/>
      <c r="L23" s="841"/>
      <c r="M23" s="841"/>
      <c r="N23" s="841"/>
      <c r="O23" s="841"/>
      <c r="P23" s="841"/>
      <c r="Q23" s="841"/>
      <c r="R23" s="842"/>
      <c r="T23" s="2"/>
      <c r="W23" s="14" t="e">
        <f>#REF!</f>
        <v>#REF!</v>
      </c>
      <c r="X23" s="15" t="e">
        <f>IF(#REF!="","",#REF!)</f>
        <v>#REF!</v>
      </c>
      <c r="Y23" s="15" t="e">
        <f>IF(#REF!="","",#REF!)</f>
        <v>#REF!</v>
      </c>
    </row>
    <row r="24" spans="1:25" ht="35.25" customHeight="1" x14ac:dyDescent="0.25">
      <c r="A24" s="2"/>
      <c r="B24" t="e">
        <f>#REF!</f>
        <v>#REF!</v>
      </c>
      <c r="C24" t="e">
        <f>#REF!</f>
        <v>#REF!</v>
      </c>
      <c r="I24" s="1">
        <v>5</v>
      </c>
      <c r="J24" s="826" t="s">
        <v>65</v>
      </c>
      <c r="K24" s="827"/>
      <c r="L24" s="827"/>
      <c r="M24" s="827"/>
      <c r="N24" s="828"/>
      <c r="O24" s="19">
        <v>0.2</v>
      </c>
      <c r="P24" s="39" t="e">
        <f>VLOOKUP(P$1,#REF!,B24,FALSE)</f>
        <v>#REF!</v>
      </c>
      <c r="Q24" s="18" t="e">
        <f>IF(R24="N/A","N/A",10)</f>
        <v>#REF!</v>
      </c>
      <c r="R24" s="34" t="e">
        <f>IF(P24="N/A","N/A",VLOOKUP(P$1,#REF!,C24,FALSE))</f>
        <v>#REF!</v>
      </c>
      <c r="T24" s="2"/>
      <c r="W24" s="14" t="e">
        <f>#REF!</f>
        <v>#REF!</v>
      </c>
      <c r="X24" s="15" t="e">
        <f>IF(#REF!="","",#REF!)</f>
        <v>#REF!</v>
      </c>
      <c r="Y24" s="15" t="e">
        <f>IF(#REF!="","",#REF!)</f>
        <v>#REF!</v>
      </c>
    </row>
    <row r="25" spans="1:25" ht="37.5" customHeight="1" x14ac:dyDescent="0.25">
      <c r="A25" s="2"/>
      <c r="B25" t="e">
        <f>#REF!</f>
        <v>#REF!</v>
      </c>
      <c r="C25" t="e">
        <f>#REF!</f>
        <v>#REF!</v>
      </c>
      <c r="I25" s="1">
        <v>6</v>
      </c>
      <c r="J25" s="826" t="s">
        <v>66</v>
      </c>
      <c r="K25" s="827"/>
      <c r="L25" s="827"/>
      <c r="M25" s="827"/>
      <c r="N25" s="828"/>
      <c r="O25" s="19">
        <v>0.5</v>
      </c>
      <c r="P25" s="39" t="e">
        <f>VLOOKUP(P$1,#REF!,B25,FALSE)</f>
        <v>#REF!</v>
      </c>
      <c r="Q25" s="18" t="e">
        <f>IF(R25="N/A","N/A",10)</f>
        <v>#REF!</v>
      </c>
      <c r="R25" s="34" t="e">
        <f>IF(P25="N/A","N/A",VLOOKUP(P$1,#REF!,C25,FALSE))</f>
        <v>#REF!</v>
      </c>
      <c r="T25" s="2"/>
      <c r="W25" s="14" t="e">
        <f>#REF!</f>
        <v>#REF!</v>
      </c>
      <c r="X25" s="15" t="e">
        <f>IF(#REF!="","",#REF!)</f>
        <v>#REF!</v>
      </c>
      <c r="Y25" s="15" t="e">
        <f>IF(#REF!="","",#REF!)</f>
        <v>#REF!</v>
      </c>
    </row>
    <row r="26" spans="1:25" ht="37.5" customHeight="1" x14ac:dyDescent="0.25">
      <c r="A26" s="2"/>
      <c r="B26" t="e">
        <f>#REF!</f>
        <v>#REF!</v>
      </c>
      <c r="C26" t="e">
        <f>#REF!</f>
        <v>#REF!</v>
      </c>
      <c r="I26" s="1">
        <v>7</v>
      </c>
      <c r="J26" s="826" t="s">
        <v>67</v>
      </c>
      <c r="K26" s="827"/>
      <c r="L26" s="827"/>
      <c r="M26" s="827"/>
      <c r="N26" s="828"/>
      <c r="O26" s="19">
        <v>0.9</v>
      </c>
      <c r="P26" s="39" t="e">
        <f>VLOOKUP(P$1,#REF!,B26,FALSE)</f>
        <v>#REF!</v>
      </c>
      <c r="Q26" s="18" t="e">
        <f>IF(R26="N/A","N/A",10)</f>
        <v>#REF!</v>
      </c>
      <c r="R26" s="34" t="e">
        <f>IF(P26="N/A","N/A",VLOOKUP(P$1,#REF!,C26,FALSE))</f>
        <v>#REF!</v>
      </c>
      <c r="T26" s="2"/>
      <c r="W26" s="14" t="e">
        <f>#REF!</f>
        <v>#REF!</v>
      </c>
      <c r="X26" s="15" t="e">
        <f>IF(#REF!="","",#REF!)</f>
        <v>#REF!</v>
      </c>
      <c r="Y26" s="15" t="e">
        <f>IF(#REF!="","",#REF!)</f>
        <v>#REF!</v>
      </c>
    </row>
    <row r="27" spans="1:25" ht="37.5" customHeight="1" x14ac:dyDescent="0.25">
      <c r="A27" s="2"/>
      <c r="J27" s="840" t="s">
        <v>25</v>
      </c>
      <c r="K27" s="841"/>
      <c r="L27" s="841"/>
      <c r="M27" s="841"/>
      <c r="N27" s="841"/>
      <c r="O27" s="841"/>
      <c r="P27" s="841"/>
      <c r="Q27" s="841"/>
      <c r="R27" s="842"/>
      <c r="T27" s="2"/>
      <c r="W27" s="14" t="e">
        <f>#REF!</f>
        <v>#REF!</v>
      </c>
      <c r="X27" s="15" t="e">
        <f>IF(#REF!="","",#REF!)</f>
        <v>#REF!</v>
      </c>
      <c r="Y27" s="15" t="e">
        <f>IF(#REF!="","",#REF!)</f>
        <v>#REF!</v>
      </c>
    </row>
    <row r="28" spans="1:25" ht="39.75" customHeight="1" x14ac:dyDescent="0.25">
      <c r="A28" s="2"/>
      <c r="B28" t="e">
        <f>#REF!</f>
        <v>#REF!</v>
      </c>
      <c r="C28" t="e">
        <f>#REF!</f>
        <v>#REF!</v>
      </c>
      <c r="I28" s="1">
        <v>8</v>
      </c>
      <c r="J28" s="826" t="s">
        <v>90</v>
      </c>
      <c r="K28" s="827"/>
      <c r="L28" s="827"/>
      <c r="M28" s="827"/>
      <c r="N28" s="828"/>
      <c r="O28" s="20">
        <v>0.9</v>
      </c>
      <c r="P28" s="39" t="e">
        <f>VLOOKUP(P$1,#REF!,B28,FALSE)</f>
        <v>#REF!</v>
      </c>
      <c r="Q28" s="18" t="e">
        <f>IF(R28="N/A","N/A",6)</f>
        <v>#REF!</v>
      </c>
      <c r="R28" s="34" t="e">
        <f>IF(P28="N/A","N/A",VLOOKUP(P$1,#REF!,C28,FALSE))</f>
        <v>#REF!</v>
      </c>
      <c r="T28" s="2"/>
      <c r="W28" s="14" t="e">
        <f>#REF!</f>
        <v>#REF!</v>
      </c>
      <c r="X28" s="15" t="e">
        <f>IF(#REF!="","",#REF!)</f>
        <v>#REF!</v>
      </c>
      <c r="Y28" s="15" t="e">
        <f>IF(#REF!="","",#REF!)</f>
        <v>#REF!</v>
      </c>
    </row>
    <row r="29" spans="1:25" ht="36.75" customHeight="1" x14ac:dyDescent="0.25">
      <c r="A29" s="2"/>
      <c r="B29" t="e">
        <f>#REF!</f>
        <v>#REF!</v>
      </c>
      <c r="C29" t="e">
        <f>#REF!</f>
        <v>#REF!</v>
      </c>
      <c r="I29" s="1">
        <v>9</v>
      </c>
      <c r="J29" s="826" t="s">
        <v>88</v>
      </c>
      <c r="K29" s="827"/>
      <c r="L29" s="827"/>
      <c r="M29" s="827"/>
      <c r="N29" s="828"/>
      <c r="O29" s="21" t="s">
        <v>26</v>
      </c>
      <c r="P29" s="39" t="e">
        <f>VLOOKUP(P$1,#REF!,B29,FALSE)</f>
        <v>#REF!</v>
      </c>
      <c r="Q29" s="18" t="e">
        <f>IF(R29="N/A","N/A",7)</f>
        <v>#REF!</v>
      </c>
      <c r="R29" s="34" t="e">
        <f>IF(P29="N/A","N/A",VLOOKUP(P$1,#REF!,C29,FALSE))</f>
        <v>#REF!</v>
      </c>
      <c r="T29" s="2"/>
      <c r="W29" s="14" t="e">
        <f>#REF!</f>
        <v>#REF!</v>
      </c>
      <c r="X29" s="15" t="e">
        <f>IF(#REF!="","",#REF!)</f>
        <v>#REF!</v>
      </c>
      <c r="Y29" s="15" t="e">
        <f>IF(#REF!="","",#REF!)</f>
        <v>#REF!</v>
      </c>
    </row>
    <row r="30" spans="1:25" ht="23.25" x14ac:dyDescent="0.35">
      <c r="A30" s="2"/>
      <c r="J30" s="822" t="s">
        <v>68</v>
      </c>
      <c r="K30" s="823"/>
      <c r="L30" s="823"/>
      <c r="M30" s="823"/>
      <c r="N30" s="823"/>
      <c r="O30" s="838"/>
      <c r="P30" s="839"/>
      <c r="Q30" s="22" t="e">
        <f>SUM(Q18:Q29)</f>
        <v>#REF!</v>
      </c>
      <c r="R30" s="23" t="e">
        <f>SUM(R18:R29)</f>
        <v>#REF!</v>
      </c>
      <c r="T30" s="2"/>
      <c r="W30" s="14" t="e">
        <f>#REF!</f>
        <v>#REF!</v>
      </c>
      <c r="X30" s="15" t="e">
        <f>IF(#REF!="","",#REF!)</f>
        <v>#REF!</v>
      </c>
      <c r="Y30" s="15" t="e">
        <f>IF(#REF!="","",#REF!)</f>
        <v>#REF!</v>
      </c>
    </row>
    <row r="31" spans="1:25" ht="36.75" customHeight="1" x14ac:dyDescent="0.3">
      <c r="A31" s="2"/>
      <c r="J31" s="829" t="s">
        <v>69</v>
      </c>
      <c r="K31" s="830"/>
      <c r="L31" s="830"/>
      <c r="M31" s="830"/>
      <c r="N31" s="830"/>
      <c r="O31" s="830"/>
      <c r="P31" s="830"/>
      <c r="Q31" s="830"/>
      <c r="R31" s="831"/>
      <c r="T31" s="2"/>
      <c r="W31" s="14" t="e">
        <f>#REF!</f>
        <v>#REF!</v>
      </c>
      <c r="X31" s="15" t="e">
        <f>IF(#REF!="","",#REF!)</f>
        <v>#REF!</v>
      </c>
      <c r="Y31" s="15" t="e">
        <f>IF(#REF!="","",#REF!)</f>
        <v>#REF!</v>
      </c>
    </row>
    <row r="32" spans="1:25" ht="36.75" customHeight="1" x14ac:dyDescent="0.25">
      <c r="A32" s="2"/>
      <c r="B32" t="e">
        <f>#REF!</f>
        <v>#REF!</v>
      </c>
      <c r="C32" t="e">
        <f>#REF!</f>
        <v>#REF!</v>
      </c>
      <c r="I32" s="1">
        <v>10</v>
      </c>
      <c r="J32" s="826" t="s">
        <v>28</v>
      </c>
      <c r="K32" s="827"/>
      <c r="L32" s="827"/>
      <c r="M32" s="827"/>
      <c r="N32" s="828"/>
      <c r="O32" s="21" t="s">
        <v>30</v>
      </c>
      <c r="P32" s="39" t="e">
        <f>VLOOKUP(P$1,#REF!,B32,FALSE)</f>
        <v>#REF!</v>
      </c>
      <c r="Q32" s="18" t="e">
        <f>IF(R32="N/A","N/A",5)</f>
        <v>#REF!</v>
      </c>
      <c r="R32" s="34" t="e">
        <f>IF(P32="N/A","N/A",VLOOKUP(P$1,#REF!,C32,FALSE))</f>
        <v>#REF!</v>
      </c>
      <c r="T32" s="2"/>
      <c r="W32" s="14" t="e">
        <f>#REF!</f>
        <v>#REF!</v>
      </c>
      <c r="X32" s="15" t="e">
        <f>IF(#REF!="","",#REF!)</f>
        <v>#REF!</v>
      </c>
      <c r="Y32" s="15" t="e">
        <f>IF(#REF!="","",#REF!)</f>
        <v>#REF!</v>
      </c>
    </row>
    <row r="33" spans="1:25" ht="31.5" x14ac:dyDescent="0.25">
      <c r="A33" s="2"/>
      <c r="B33" t="e">
        <f>#REF!</f>
        <v>#REF!</v>
      </c>
      <c r="C33" t="e">
        <f>#REF!</f>
        <v>#REF!</v>
      </c>
      <c r="I33" s="1">
        <v>11</v>
      </c>
      <c r="J33" s="826" t="s">
        <v>31</v>
      </c>
      <c r="K33" s="827"/>
      <c r="L33" s="827"/>
      <c r="M33" s="827"/>
      <c r="N33" s="828"/>
      <c r="O33" s="16" t="s">
        <v>33</v>
      </c>
      <c r="P33" s="17" t="e">
        <f>VLOOKUP(P$1,#REF!,B33,FALSE)</f>
        <v>#REF!</v>
      </c>
      <c r="Q33" s="18" t="e">
        <f>IF(R33="N/A","N/A",5)</f>
        <v>#REF!</v>
      </c>
      <c r="R33" s="34" t="e">
        <f>IF(P33="N/A","N/A",VLOOKUP(P$1,#REF!,C33,FALSE))</f>
        <v>#REF!</v>
      </c>
      <c r="T33" s="2"/>
      <c r="W33" s="14" t="e">
        <f>#REF!</f>
        <v>#REF!</v>
      </c>
      <c r="X33" s="15" t="e">
        <f>IF(#REF!="","",#REF!)</f>
        <v>#REF!</v>
      </c>
      <c r="Y33" s="15" t="e">
        <f>IF(#REF!="","",#REF!)</f>
        <v>#REF!</v>
      </c>
    </row>
    <row r="34" spans="1:25" ht="31.5" x14ac:dyDescent="0.25">
      <c r="A34" s="2"/>
      <c r="B34" t="e">
        <f>#REF!</f>
        <v>#REF!</v>
      </c>
      <c r="C34" t="e">
        <f>#REF!</f>
        <v>#REF!</v>
      </c>
      <c r="I34" s="1">
        <v>12</v>
      </c>
      <c r="J34" s="826" t="s">
        <v>70</v>
      </c>
      <c r="K34" s="827"/>
      <c r="L34" s="827"/>
      <c r="M34" s="827"/>
      <c r="N34" s="828"/>
      <c r="O34" s="26" t="s">
        <v>35</v>
      </c>
      <c r="P34" s="17" t="e">
        <f>VLOOKUP(P$1,#REF!,B34,FALSE)</f>
        <v>#REF!</v>
      </c>
      <c r="Q34" s="18" t="e">
        <f>IF(R34="N/A","N/A",5)</f>
        <v>#REF!</v>
      </c>
      <c r="R34" s="34" t="e">
        <f>IF(P34="N/A","N/A",VLOOKUP(P$1,#REF!,C34,FALSE))</f>
        <v>#REF!</v>
      </c>
      <c r="T34" s="2"/>
      <c r="W34" s="14" t="e">
        <f>#REF!</f>
        <v>#REF!</v>
      </c>
      <c r="X34" s="15" t="e">
        <f>IF(#REF!="","",#REF!)</f>
        <v>#REF!</v>
      </c>
      <c r="Y34" s="15" t="e">
        <f>IF(#REF!="","",#REF!)</f>
        <v>#REF!</v>
      </c>
    </row>
    <row r="35" spans="1:25" ht="23.25" x14ac:dyDescent="0.35">
      <c r="A35" s="2"/>
      <c r="J35" s="822" t="s">
        <v>71</v>
      </c>
      <c r="K35" s="823"/>
      <c r="L35" s="823"/>
      <c r="M35" s="823"/>
      <c r="N35" s="824"/>
      <c r="O35" s="835"/>
      <c r="P35" s="836"/>
      <c r="Q35" s="27" t="e">
        <f>SUM(Q32:Q34)</f>
        <v>#REF!</v>
      </c>
      <c r="R35" s="28" t="e">
        <f>SUM(R32:R34)</f>
        <v>#REF!</v>
      </c>
      <c r="T35" s="2"/>
      <c r="W35" s="14" t="e">
        <f>#REF!</f>
        <v>#REF!</v>
      </c>
      <c r="X35" s="15" t="e">
        <f>IF(#REF!="","",#REF!)</f>
        <v>#REF!</v>
      </c>
      <c r="Y35" s="15" t="e">
        <f>IF(#REF!="","",#REF!)</f>
        <v>#REF!</v>
      </c>
    </row>
    <row r="36" spans="1:25" ht="18.75" x14ac:dyDescent="0.3">
      <c r="A36" s="2"/>
      <c r="J36" s="829" t="s">
        <v>91</v>
      </c>
      <c r="K36" s="830"/>
      <c r="L36" s="830"/>
      <c r="M36" s="830"/>
      <c r="N36" s="830"/>
      <c r="O36" s="837"/>
      <c r="P36" s="837"/>
      <c r="Q36" s="830"/>
      <c r="R36" s="831"/>
      <c r="T36" s="2"/>
      <c r="W36" s="14" t="e">
        <f>#REF!</f>
        <v>#REF!</v>
      </c>
      <c r="X36" s="15" t="e">
        <f>IF(#REF!="","",#REF!)</f>
        <v>#REF!</v>
      </c>
      <c r="Y36" s="15" t="e">
        <f>IF(#REF!="","",#REF!)</f>
        <v>#REF!</v>
      </c>
    </row>
    <row r="37" spans="1:25" ht="31.5" x14ac:dyDescent="0.25">
      <c r="A37" s="2"/>
      <c r="B37" t="e">
        <f>#REF!</f>
        <v>#REF!</v>
      </c>
      <c r="C37" t="e">
        <f>#REF!</f>
        <v>#REF!</v>
      </c>
      <c r="I37" s="1">
        <v>13</v>
      </c>
      <c r="J37" s="826" t="s">
        <v>37</v>
      </c>
      <c r="K37" s="827"/>
      <c r="L37" s="827"/>
      <c r="M37" s="827"/>
      <c r="N37" s="828"/>
      <c r="O37" s="16" t="s">
        <v>38</v>
      </c>
      <c r="P37" s="39" t="e">
        <f>VLOOKUP(P$1,#REF!,B37,FALSE)</f>
        <v>#REF!</v>
      </c>
      <c r="Q37" s="18" t="e">
        <f>IF(R37="N/A","N/A",3)</f>
        <v>#REF!</v>
      </c>
      <c r="R37" s="34" t="e">
        <f>IF(P37="N/A","N/A",VLOOKUP(P$1,#REF!,C37,FALSE))</f>
        <v>#REF!</v>
      </c>
      <c r="T37" s="2"/>
      <c r="W37" s="14" t="e">
        <f>#REF!</f>
        <v>#REF!</v>
      </c>
      <c r="X37" s="15" t="e">
        <f>IF(#REF!="","",#REF!)</f>
        <v>#REF!</v>
      </c>
      <c r="Y37" s="15" t="e">
        <f>IF(#REF!="","",#REF!)</f>
        <v>#REF!</v>
      </c>
    </row>
    <row r="38" spans="1:25" ht="31.5" x14ac:dyDescent="0.25">
      <c r="A38" s="2"/>
      <c r="B38" t="e">
        <f>#REF!</f>
        <v>#REF!</v>
      </c>
      <c r="C38" t="e">
        <f>#REF!</f>
        <v>#REF!</v>
      </c>
      <c r="I38" s="1">
        <v>14</v>
      </c>
      <c r="J38" s="826" t="s">
        <v>39</v>
      </c>
      <c r="K38" s="827"/>
      <c r="L38" s="827"/>
      <c r="M38" s="827"/>
      <c r="N38" s="828"/>
      <c r="O38" s="16" t="s">
        <v>41</v>
      </c>
      <c r="P38" s="39" t="e">
        <f>VLOOKUP(P$1,#REF!,B38,FALSE)</f>
        <v>#REF!</v>
      </c>
      <c r="Q38" s="18" t="e">
        <f>IF(R38="N/A","N/A",3)</f>
        <v>#REF!</v>
      </c>
      <c r="R38" s="34" t="e">
        <f>IF(P38="N/A","N/A",VLOOKUP(P$1,#REF!,C38,FALSE))</f>
        <v>#REF!</v>
      </c>
      <c r="T38" s="2"/>
    </row>
    <row r="39" spans="1:25" ht="23.25" x14ac:dyDescent="0.35">
      <c r="A39" s="2"/>
      <c r="J39" s="822" t="s">
        <v>94</v>
      </c>
      <c r="K39" s="823"/>
      <c r="L39" s="823"/>
      <c r="M39" s="823"/>
      <c r="N39" s="824"/>
      <c r="O39" s="838"/>
      <c r="P39" s="839"/>
      <c r="Q39" s="22" t="e">
        <f>SUM(Q37:Q38)</f>
        <v>#REF!</v>
      </c>
      <c r="R39" s="23" t="e">
        <f>SUM(R37:R38)</f>
        <v>#REF!</v>
      </c>
      <c r="T39" s="2"/>
    </row>
    <row r="40" spans="1:25" ht="18.75" x14ac:dyDescent="0.3">
      <c r="A40" s="2"/>
      <c r="J40" s="829" t="s">
        <v>72</v>
      </c>
      <c r="K40" s="830"/>
      <c r="L40" s="830"/>
      <c r="M40" s="830"/>
      <c r="N40" s="830"/>
      <c r="O40" s="830"/>
      <c r="P40" s="830"/>
      <c r="Q40" s="830"/>
      <c r="R40" s="831"/>
      <c r="T40" s="2"/>
    </row>
    <row r="41" spans="1:25" ht="23.25" x14ac:dyDescent="0.35">
      <c r="A41" s="2"/>
      <c r="J41" s="832"/>
      <c r="K41" s="833"/>
      <c r="L41" s="833"/>
      <c r="M41" s="833"/>
      <c r="N41" s="833"/>
      <c r="O41" s="833"/>
      <c r="P41" s="834"/>
      <c r="Q41" s="36" t="e">
        <f>Q39+Q35+Q30</f>
        <v>#REF!</v>
      </c>
      <c r="R41" s="25" t="e">
        <f>R39+R35+R30</f>
        <v>#REF!</v>
      </c>
      <c r="T41" s="2"/>
      <c r="U41" t="s">
        <v>84</v>
      </c>
    </row>
    <row r="42" spans="1:25" ht="23.25" customHeight="1" x14ac:dyDescent="0.35">
      <c r="A42" s="2"/>
      <c r="C42" t="e">
        <f>#REF!</f>
        <v>#REF!</v>
      </c>
      <c r="J42" s="822" t="s">
        <v>98</v>
      </c>
      <c r="K42" s="823"/>
      <c r="L42" s="823"/>
      <c r="M42" s="823"/>
      <c r="N42" s="825"/>
      <c r="O42" s="30" t="s">
        <v>73</v>
      </c>
      <c r="P42" s="24"/>
      <c r="Q42" s="24"/>
      <c r="R42" s="25" t="e">
        <f>IF(P42="N/A","N/A",VLOOKUP(P$1,#REF!,C42,FALSE))</f>
        <v>#REF!</v>
      </c>
      <c r="T42" s="2"/>
      <c r="U42" s="37" t="e">
        <f>R41/Q41*100</f>
        <v>#REF!</v>
      </c>
    </row>
    <row r="43" spans="1:25" ht="23.25" x14ac:dyDescent="0.35">
      <c r="A43" s="2"/>
      <c r="C43" t="e">
        <f>#REF!</f>
        <v>#REF!</v>
      </c>
      <c r="J43" s="820" t="s">
        <v>100</v>
      </c>
      <c r="K43" s="821"/>
      <c r="L43" s="821"/>
      <c r="M43" s="821"/>
      <c r="N43" s="821"/>
      <c r="O43" s="43"/>
      <c r="P43" s="44"/>
      <c r="Q43" s="45"/>
      <c r="R43" s="46" t="e">
        <f>IF(P43="N/A","N/A",VLOOKUP(P$1,#REF!,C43,FALSE))</f>
        <v>#REF!</v>
      </c>
      <c r="T43" s="2"/>
      <c r="U43" s="37"/>
    </row>
    <row r="44" spans="1:25" ht="23.25" x14ac:dyDescent="0.35">
      <c r="A44" s="2"/>
      <c r="C44" t="e">
        <f>#REF!</f>
        <v>#REF!</v>
      </c>
      <c r="J44" s="822" t="s">
        <v>85</v>
      </c>
      <c r="K44" s="823"/>
      <c r="L44" s="823"/>
      <c r="M44" s="823"/>
      <c r="N44" s="824"/>
      <c r="O44" s="40"/>
      <c r="P44" s="41"/>
      <c r="Q44" s="42"/>
      <c r="R44" s="25" t="e">
        <f>IF(P44="N/A","N/A",VLOOKUP(P$1,#REF!,C44,FALSE))</f>
        <v>#REF!</v>
      </c>
      <c r="T44" s="2"/>
      <c r="U44" s="37"/>
    </row>
    <row r="45" spans="1:25" ht="18" x14ac:dyDescent="0.25">
      <c r="A45" s="2"/>
      <c r="C45" s="31"/>
      <c r="D45" s="31"/>
      <c r="E45" s="31"/>
      <c r="F45" s="31"/>
      <c r="G45" s="32"/>
      <c r="H45" s="32"/>
      <c r="J45" s="33" t="s">
        <v>92</v>
      </c>
      <c r="K45" s="33"/>
      <c r="L45" s="33"/>
      <c r="M45" s="33"/>
      <c r="N45" s="33"/>
      <c r="O45" s="33"/>
      <c r="P45" s="33"/>
      <c r="Q45" s="33"/>
      <c r="R45" s="33"/>
      <c r="T45" s="2"/>
    </row>
    <row r="46" spans="1:25" x14ac:dyDescent="0.25">
      <c r="A46" s="2"/>
      <c r="B46" s="2"/>
      <c r="C46" s="2"/>
      <c r="D46" s="2"/>
      <c r="E46" s="2"/>
      <c r="F46" s="2"/>
      <c r="G46" s="2"/>
      <c r="H46" s="2"/>
      <c r="I46" s="3"/>
      <c r="J46" s="2"/>
      <c r="K46" s="2"/>
      <c r="L46" s="2"/>
      <c r="M46" s="2"/>
      <c r="N46" s="2"/>
      <c r="O46" s="2"/>
      <c r="P46" s="2"/>
      <c r="Q46" s="2"/>
      <c r="R46" s="2"/>
      <c r="S46" s="2"/>
      <c r="T46" s="2"/>
    </row>
    <row r="47" spans="1:25" ht="15" x14ac:dyDescent="0.25">
      <c r="I47"/>
    </row>
    <row r="48" spans="1:25" ht="15" x14ac:dyDescent="0.25">
      <c r="I48"/>
    </row>
    <row r="49" spans="9:9" ht="23.25" customHeight="1" x14ac:dyDescent="0.25">
      <c r="I49"/>
    </row>
    <row r="50" spans="9:9" ht="23.25" customHeight="1" x14ac:dyDescent="0.25">
      <c r="I50"/>
    </row>
    <row r="51" spans="9:9" ht="23.25" customHeight="1" x14ac:dyDescent="0.25">
      <c r="I51"/>
    </row>
    <row r="52" spans="9:9" ht="15" x14ac:dyDescent="0.25">
      <c r="I52"/>
    </row>
    <row r="53" spans="9:9" ht="15.75" customHeight="1" x14ac:dyDescent="0.25">
      <c r="I53"/>
    </row>
    <row r="54" spans="9:9" ht="15.75" customHeight="1" x14ac:dyDescent="0.25">
      <c r="I54"/>
    </row>
    <row r="55" spans="9:9" ht="15.75" customHeight="1" x14ac:dyDescent="0.25">
      <c r="I55"/>
    </row>
    <row r="56" spans="9:9" ht="15" x14ac:dyDescent="0.25">
      <c r="I56"/>
    </row>
  </sheetData>
  <mergeCells count="38">
    <mergeCell ref="J22:N22"/>
    <mergeCell ref="J21:N21"/>
    <mergeCell ref="J3:R3"/>
    <mergeCell ref="J13:N15"/>
    <mergeCell ref="O13:O14"/>
    <mergeCell ref="P13:P15"/>
    <mergeCell ref="Q13:Q15"/>
    <mergeCell ref="R13:R15"/>
    <mergeCell ref="J16:R16"/>
    <mergeCell ref="J17:R17"/>
    <mergeCell ref="J18:N18"/>
    <mergeCell ref="J19:N19"/>
    <mergeCell ref="J20:R20"/>
    <mergeCell ref="J32:N32"/>
    <mergeCell ref="J23:R23"/>
    <mergeCell ref="J24:N24"/>
    <mergeCell ref="J25:N25"/>
    <mergeCell ref="J26:N26"/>
    <mergeCell ref="J27:R27"/>
    <mergeCell ref="J28:N28"/>
    <mergeCell ref="J29:N29"/>
    <mergeCell ref="J30:N30"/>
    <mergeCell ref="O30:P30"/>
    <mergeCell ref="J31:R31"/>
    <mergeCell ref="J43:N43"/>
    <mergeCell ref="J44:N44"/>
    <mergeCell ref="J42:N42"/>
    <mergeCell ref="J33:N33"/>
    <mergeCell ref="J34:N34"/>
    <mergeCell ref="J35:N35"/>
    <mergeCell ref="J40:R40"/>
    <mergeCell ref="J41:P41"/>
    <mergeCell ref="O35:P35"/>
    <mergeCell ref="J36:R36"/>
    <mergeCell ref="J37:N37"/>
    <mergeCell ref="J38:N38"/>
    <mergeCell ref="J39:N39"/>
    <mergeCell ref="O39:P39"/>
  </mergeCells>
  <conditionalFormatting sqref="R18:R19 R32:R34">
    <cfRule type="cellIs" dxfId="18" priority="4" operator="equal">
      <formula>0</formula>
    </cfRule>
  </conditionalFormatting>
  <conditionalFormatting sqref="R21:R22">
    <cfRule type="cellIs" dxfId="17" priority="1" operator="equal">
      <formula>0</formula>
    </cfRule>
  </conditionalFormatting>
  <conditionalFormatting sqref="R24:R26 R28:R29 R37:R38">
    <cfRule type="cellIs" dxfId="16" priority="5" operator="equal">
      <formula>0</formula>
    </cfRule>
  </conditionalFormatting>
  <conditionalFormatting sqref="W17:Y37">
    <cfRule type="containsText" dxfId="15" priority="6" operator="containsText" text="NO APR">
      <formula>NOT(ISERROR(SEARCH("NO APR",W17)))</formula>
    </cfRule>
    <cfRule type="containsText" dxfId="14" priority="7" operator="containsText" text="FALSE">
      <formula>NOT(ISERROR(SEARCH("FALSE",W17)))</formula>
    </cfRule>
  </conditionalFormatting>
  <dataValidations count="1">
    <dataValidation type="list" allowBlank="1" showInputMessage="1" showErrorMessage="1" sqref="P1" xr:uid="{00000000-0002-0000-0400-000000000000}">
      <formula1>$W$17:$W$37</formula1>
    </dataValidation>
  </dataValidations>
  <pageMargins left="0.25" right="0.25" top="0.75" bottom="0.75" header="0.3" footer="0.3"/>
  <pageSetup scale="5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92D0-6159-4639-982C-FD782484898F}">
  <sheetPr>
    <tabColor rgb="FFC00000"/>
  </sheetPr>
  <dimension ref="A1:D19"/>
  <sheetViews>
    <sheetView workbookViewId="0"/>
  </sheetViews>
  <sheetFormatPr defaultColWidth="8.7109375" defaultRowHeight="15" x14ac:dyDescent="0.25"/>
  <cols>
    <col min="1" max="1" width="23.42578125" style="190" customWidth="1"/>
    <col min="2" max="2" width="25" style="190" customWidth="1"/>
    <col min="3" max="3" width="26.5703125" style="190" customWidth="1"/>
    <col min="4" max="4" width="14.7109375" style="190" customWidth="1"/>
    <col min="5" max="16384" width="8.7109375" style="190"/>
  </cols>
  <sheetData>
    <row r="1" spans="1:4" x14ac:dyDescent="0.25">
      <c r="A1" s="189" t="s">
        <v>62</v>
      </c>
      <c r="B1" s="189" t="s">
        <v>135</v>
      </c>
      <c r="C1" s="189" t="s">
        <v>63</v>
      </c>
      <c r="D1" s="189" t="s">
        <v>134</v>
      </c>
    </row>
    <row r="2" spans="1:4" x14ac:dyDescent="0.25">
      <c r="A2" s="157" t="s">
        <v>499</v>
      </c>
      <c r="B2" s="157" t="s">
        <v>303</v>
      </c>
      <c r="C2" s="157" t="s">
        <v>501</v>
      </c>
      <c r="D2" s="157" t="s">
        <v>6</v>
      </c>
    </row>
    <row r="3" spans="1:4" x14ac:dyDescent="0.25">
      <c r="A3" s="157" t="s">
        <v>500</v>
      </c>
      <c r="B3" s="157" t="s">
        <v>303</v>
      </c>
      <c r="C3" s="157" t="s">
        <v>502</v>
      </c>
      <c r="D3" s="157" t="s">
        <v>5</v>
      </c>
    </row>
    <row r="4" spans="1:4" x14ac:dyDescent="0.25">
      <c r="A4" s="191" t="s">
        <v>399</v>
      </c>
      <c r="B4" s="192" t="s">
        <v>434</v>
      </c>
      <c r="C4" s="191" t="s">
        <v>611</v>
      </c>
      <c r="D4" s="193" t="s">
        <v>6</v>
      </c>
    </row>
    <row r="5" spans="1:4" x14ac:dyDescent="0.25">
      <c r="A5" s="191" t="s">
        <v>400</v>
      </c>
      <c r="B5" s="192" t="s">
        <v>435</v>
      </c>
      <c r="C5" s="191" t="s">
        <v>609</v>
      </c>
      <c r="D5" s="193" t="s">
        <v>6</v>
      </c>
    </row>
    <row r="6" spans="1:4" x14ac:dyDescent="0.25">
      <c r="A6" s="326" t="s">
        <v>401</v>
      </c>
      <c r="B6" s="327" t="s">
        <v>436</v>
      </c>
      <c r="C6" s="327" t="s">
        <v>607</v>
      </c>
      <c r="D6" s="188" t="s">
        <v>5</v>
      </c>
    </row>
    <row r="7" spans="1:4" x14ac:dyDescent="0.25">
      <c r="A7" s="326" t="s">
        <v>402</v>
      </c>
      <c r="B7" s="327" t="s">
        <v>437</v>
      </c>
      <c r="C7" s="327" t="s">
        <v>610</v>
      </c>
      <c r="D7" s="188" t="s">
        <v>6</v>
      </c>
    </row>
    <row r="8" spans="1:4" x14ac:dyDescent="0.25">
      <c r="A8" s="328" t="s">
        <v>478</v>
      </c>
      <c r="B8" s="328" t="s">
        <v>436</v>
      </c>
      <c r="C8" s="329" t="s">
        <v>608</v>
      </c>
      <c r="D8" s="328" t="s">
        <v>5</v>
      </c>
    </row>
    <row r="9" spans="1:4" x14ac:dyDescent="0.25">
      <c r="C9" s="194"/>
    </row>
    <row r="10" spans="1:4" x14ac:dyDescent="0.25">
      <c r="C10" s="194"/>
    </row>
    <row r="11" spans="1:4" x14ac:dyDescent="0.25">
      <c r="C11" s="194"/>
    </row>
    <row r="12" spans="1:4" x14ac:dyDescent="0.25">
      <c r="C12" s="194"/>
    </row>
    <row r="13" spans="1:4" x14ac:dyDescent="0.25">
      <c r="C13" s="194"/>
    </row>
    <row r="14" spans="1:4" x14ac:dyDescent="0.25">
      <c r="C14" s="194"/>
    </row>
    <row r="15" spans="1:4" x14ac:dyDescent="0.25">
      <c r="C15" s="194"/>
    </row>
    <row r="16" spans="1:4" x14ac:dyDescent="0.25">
      <c r="C16" s="194"/>
    </row>
    <row r="17" spans="3:3" x14ac:dyDescent="0.25">
      <c r="C17" s="194"/>
    </row>
    <row r="18" spans="3:3" x14ac:dyDescent="0.25">
      <c r="C18" s="194"/>
    </row>
    <row r="19" spans="3:3" x14ac:dyDescent="0.25">
      <c r="C19" s="194"/>
    </row>
  </sheetData>
  <autoFilter ref="A1:D1" xr:uid="{1DE39094-B975-45BE-B7E1-13DC6C40A6DB}"/>
  <conditionalFormatting sqref="A4:A7">
    <cfRule type="expression" dxfId="13" priority="1">
      <formula>(#REF!&gt;1)</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3E41-BBB1-4BA3-8B13-AD1BCAB70EA0}">
  <sheetPr>
    <tabColor theme="9" tint="0.59999389629810485"/>
    <pageSetUpPr fitToPage="1"/>
  </sheetPr>
  <dimension ref="A1:H47"/>
  <sheetViews>
    <sheetView tabSelected="1" zoomScaleNormal="100" workbookViewId="0">
      <pane xSplit="8" ySplit="6" topLeftCell="I7" activePane="bottomRight" state="frozen"/>
      <selection pane="topRight" activeCell="I1" sqref="I1"/>
      <selection pane="bottomLeft" activeCell="A7" sqref="A7"/>
      <selection pane="bottomRight"/>
    </sheetView>
  </sheetViews>
  <sheetFormatPr defaultColWidth="8.85546875" defaultRowHeight="15" x14ac:dyDescent="0.25"/>
  <cols>
    <col min="1" max="1" width="5.7109375" style="139" customWidth="1"/>
    <col min="2" max="2" width="47.140625" style="148" customWidth="1"/>
    <col min="3" max="3" width="22.5703125" style="148" customWidth="1"/>
    <col min="4" max="4" width="7.140625" style="149" customWidth="1"/>
    <col min="5" max="5" width="8.140625" style="149" customWidth="1"/>
    <col min="6" max="6" width="9.28515625" style="149" customWidth="1"/>
    <col min="7" max="7" width="27.28515625" style="149" customWidth="1"/>
    <col min="8" max="8" width="30.140625" style="149" customWidth="1"/>
    <col min="9" max="16384" width="8.85546875" style="140"/>
  </cols>
  <sheetData>
    <row r="1" spans="1:8" ht="25.5" customHeight="1" x14ac:dyDescent="0.25">
      <c r="B1" s="584" t="s">
        <v>562</v>
      </c>
      <c r="C1" s="585"/>
      <c r="D1" s="585"/>
      <c r="E1" s="585"/>
      <c r="F1" s="585"/>
      <c r="G1" s="585"/>
      <c r="H1" s="586"/>
    </row>
    <row r="2" spans="1:8" ht="52.5" customHeight="1" x14ac:dyDescent="0.25">
      <c r="B2" s="587" t="s">
        <v>589</v>
      </c>
      <c r="C2" s="588"/>
      <c r="D2" s="588"/>
      <c r="E2" s="588"/>
      <c r="F2" s="588"/>
      <c r="G2" s="588"/>
      <c r="H2" s="589"/>
    </row>
    <row r="3" spans="1:8" ht="30" x14ac:dyDescent="0.25">
      <c r="B3" s="590" t="s">
        <v>116</v>
      </c>
      <c r="C3" s="592" t="s">
        <v>117</v>
      </c>
      <c r="D3" s="594" t="s">
        <v>563</v>
      </c>
      <c r="E3" s="595"/>
      <c r="F3" s="141" t="s">
        <v>564</v>
      </c>
      <c r="G3" s="592" t="s">
        <v>565</v>
      </c>
      <c r="H3" s="596"/>
    </row>
    <row r="4" spans="1:8" ht="21.75" customHeight="1" x14ac:dyDescent="0.25">
      <c r="B4" s="591"/>
      <c r="C4" s="593"/>
      <c r="D4" s="141" t="s">
        <v>6</v>
      </c>
      <c r="E4" s="141" t="s">
        <v>5</v>
      </c>
      <c r="F4" s="141" t="s">
        <v>8</v>
      </c>
      <c r="G4" s="141" t="s">
        <v>6</v>
      </c>
      <c r="H4" s="142" t="s">
        <v>5</v>
      </c>
    </row>
    <row r="5" spans="1:8" x14ac:dyDescent="0.25">
      <c r="B5" s="578" t="s">
        <v>444</v>
      </c>
      <c r="C5" s="579"/>
      <c r="D5" s="579"/>
      <c r="E5" s="579"/>
      <c r="F5" s="579"/>
      <c r="G5" s="579"/>
      <c r="H5" s="580"/>
    </row>
    <row r="6" spans="1:8" x14ac:dyDescent="0.25">
      <c r="B6" s="581" t="s">
        <v>11</v>
      </c>
      <c r="C6" s="582"/>
      <c r="D6" s="582"/>
      <c r="E6" s="582"/>
      <c r="F6" s="582"/>
      <c r="G6" s="582"/>
      <c r="H6" s="583"/>
    </row>
    <row r="7" spans="1:8" ht="63.95" customHeight="1" x14ac:dyDescent="0.25">
      <c r="A7" s="139">
        <v>1</v>
      </c>
      <c r="B7" s="143" t="s">
        <v>290</v>
      </c>
      <c r="C7" s="138" t="s">
        <v>114</v>
      </c>
      <c r="D7" s="576">
        <v>0.95</v>
      </c>
      <c r="E7" s="577"/>
      <c r="F7" s="321">
        <v>10</v>
      </c>
      <c r="G7" s="571" t="s">
        <v>118</v>
      </c>
      <c r="H7" s="572"/>
    </row>
    <row r="8" spans="1:8" ht="60.95" customHeight="1" x14ac:dyDescent="0.25">
      <c r="A8" s="158">
        <f>A7+1</f>
        <v>2</v>
      </c>
      <c r="B8" s="143" t="s">
        <v>291</v>
      </c>
      <c r="C8" s="138" t="s">
        <v>335</v>
      </c>
      <c r="D8" s="576">
        <v>0.95</v>
      </c>
      <c r="E8" s="577"/>
      <c r="F8" s="321">
        <v>10</v>
      </c>
      <c r="G8" s="571" t="s">
        <v>119</v>
      </c>
      <c r="H8" s="572"/>
    </row>
    <row r="9" spans="1:8" x14ac:dyDescent="0.25">
      <c r="A9" s="159">
        <f>A8</f>
        <v>2</v>
      </c>
      <c r="B9" s="573" t="s">
        <v>15</v>
      </c>
      <c r="C9" s="574"/>
      <c r="D9" s="574"/>
      <c r="E9" s="574"/>
      <c r="F9" s="574"/>
      <c r="G9" s="574"/>
      <c r="H9" s="575"/>
    </row>
    <row r="10" spans="1:8" ht="72" customHeight="1" x14ac:dyDescent="0.25">
      <c r="A10" s="158">
        <f t="shared" ref="A10:A30" si="0">A9+1</f>
        <v>3</v>
      </c>
      <c r="B10" s="143" t="s">
        <v>467</v>
      </c>
      <c r="C10" s="137" t="s">
        <v>548</v>
      </c>
      <c r="D10" s="576">
        <v>1</v>
      </c>
      <c r="E10" s="577"/>
      <c r="F10" s="321">
        <v>10</v>
      </c>
      <c r="G10" s="571" t="s">
        <v>300</v>
      </c>
      <c r="H10" s="572"/>
    </row>
    <row r="11" spans="1:8" ht="63.75" customHeight="1" x14ac:dyDescent="0.25">
      <c r="A11" s="158">
        <f t="shared" si="0"/>
        <v>4</v>
      </c>
      <c r="B11" s="862" t="s">
        <v>345</v>
      </c>
      <c r="C11" s="863" t="s">
        <v>337</v>
      </c>
      <c r="D11" s="446">
        <v>0.95</v>
      </c>
      <c r="E11" s="864" t="s">
        <v>17</v>
      </c>
      <c r="F11" s="864">
        <v>5</v>
      </c>
      <c r="G11" s="865" t="s">
        <v>566</v>
      </c>
      <c r="H11" s="866"/>
    </row>
    <row r="12" spans="1:8" x14ac:dyDescent="0.25">
      <c r="A12" s="159">
        <f>A11</f>
        <v>4</v>
      </c>
      <c r="B12" s="867" t="s">
        <v>317</v>
      </c>
      <c r="C12" s="868"/>
      <c r="D12" s="868"/>
      <c r="E12" s="868"/>
      <c r="F12" s="868"/>
      <c r="G12" s="868"/>
      <c r="H12" s="869"/>
    </row>
    <row r="13" spans="1:8" ht="167.25" customHeight="1" x14ac:dyDescent="0.25">
      <c r="A13" s="158">
        <f>A12+1</f>
        <v>5</v>
      </c>
      <c r="B13" s="862" t="s">
        <v>318</v>
      </c>
      <c r="C13" s="863" t="s">
        <v>338</v>
      </c>
      <c r="D13" s="870" t="s">
        <v>339</v>
      </c>
      <c r="E13" s="871"/>
      <c r="F13" s="864">
        <v>5</v>
      </c>
      <c r="G13" s="872" t="s">
        <v>567</v>
      </c>
      <c r="H13" s="873"/>
    </row>
    <row r="14" spans="1:8" x14ac:dyDescent="0.25">
      <c r="A14" s="159">
        <f>A13</f>
        <v>5</v>
      </c>
      <c r="B14" s="867" t="s">
        <v>18</v>
      </c>
      <c r="C14" s="868"/>
      <c r="D14" s="868"/>
      <c r="E14" s="868"/>
      <c r="F14" s="868"/>
      <c r="G14" s="868"/>
      <c r="H14" s="869"/>
    </row>
    <row r="15" spans="1:8" ht="81" customHeight="1" x14ac:dyDescent="0.25">
      <c r="A15" s="158">
        <f t="shared" si="0"/>
        <v>6</v>
      </c>
      <c r="B15" s="862" t="s">
        <v>65</v>
      </c>
      <c r="C15" s="863" t="s">
        <v>340</v>
      </c>
      <c r="D15" s="446">
        <v>0.15</v>
      </c>
      <c r="E15" s="446">
        <v>0.25</v>
      </c>
      <c r="F15" s="864">
        <v>10</v>
      </c>
      <c r="G15" s="874" t="s">
        <v>568</v>
      </c>
      <c r="H15" s="874" t="s">
        <v>569</v>
      </c>
    </row>
    <row r="16" spans="1:8" ht="64.5" customHeight="1" x14ac:dyDescent="0.25">
      <c r="A16" s="158">
        <f t="shared" si="0"/>
        <v>7</v>
      </c>
      <c r="B16" s="862" t="s">
        <v>374</v>
      </c>
      <c r="C16" s="863" t="s">
        <v>340</v>
      </c>
      <c r="D16" s="446">
        <v>0.7</v>
      </c>
      <c r="E16" s="446">
        <v>0.15</v>
      </c>
      <c r="F16" s="864">
        <v>5</v>
      </c>
      <c r="G16" s="874" t="s">
        <v>570</v>
      </c>
      <c r="H16" s="874" t="s">
        <v>571</v>
      </c>
    </row>
    <row r="17" spans="1:8" ht="66.599999999999994" customHeight="1" x14ac:dyDescent="0.25">
      <c r="A17" s="158">
        <v>8</v>
      </c>
      <c r="B17" s="862" t="s">
        <v>572</v>
      </c>
      <c r="C17" s="863" t="s">
        <v>348</v>
      </c>
      <c r="D17" s="446">
        <v>0.15</v>
      </c>
      <c r="E17" s="446">
        <v>0.7</v>
      </c>
      <c r="F17" s="864">
        <v>5</v>
      </c>
      <c r="G17" s="874" t="s">
        <v>571</v>
      </c>
      <c r="H17" s="874" t="s">
        <v>573</v>
      </c>
    </row>
    <row r="18" spans="1:8" ht="75.95" customHeight="1" x14ac:dyDescent="0.25">
      <c r="A18" s="158">
        <v>9</v>
      </c>
      <c r="B18" s="862" t="s">
        <v>375</v>
      </c>
      <c r="C18" s="863" t="s">
        <v>341</v>
      </c>
      <c r="D18" s="446">
        <v>0.65</v>
      </c>
      <c r="E18" s="446">
        <v>0.55000000000000004</v>
      </c>
      <c r="F18" s="864">
        <v>3</v>
      </c>
      <c r="G18" s="874" t="s">
        <v>377</v>
      </c>
      <c r="H18" s="874" t="s">
        <v>376</v>
      </c>
    </row>
    <row r="19" spans="1:8" x14ac:dyDescent="0.25">
      <c r="A19" s="159">
        <f>A18</f>
        <v>9</v>
      </c>
      <c r="B19" s="867" t="s">
        <v>22</v>
      </c>
      <c r="C19" s="868"/>
      <c r="D19" s="868"/>
      <c r="E19" s="868"/>
      <c r="F19" s="868"/>
      <c r="G19" s="868"/>
      <c r="H19" s="869"/>
    </row>
    <row r="20" spans="1:8" ht="63.75" customHeight="1" x14ac:dyDescent="0.25">
      <c r="A20" s="158">
        <f t="shared" si="0"/>
        <v>10</v>
      </c>
      <c r="B20" s="862" t="s">
        <v>125</v>
      </c>
      <c r="C20" s="863" t="s">
        <v>342</v>
      </c>
      <c r="D20" s="864" t="s">
        <v>17</v>
      </c>
      <c r="E20" s="446">
        <v>0.5</v>
      </c>
      <c r="F20" s="864">
        <v>5</v>
      </c>
      <c r="G20" s="875" t="s">
        <v>17</v>
      </c>
      <c r="H20" s="874" t="s">
        <v>574</v>
      </c>
    </row>
    <row r="21" spans="1:8" x14ac:dyDescent="0.25">
      <c r="A21" s="159">
        <f>A20</f>
        <v>10</v>
      </c>
      <c r="B21" s="867" t="s">
        <v>25</v>
      </c>
      <c r="C21" s="868"/>
      <c r="D21" s="868"/>
      <c r="E21" s="868"/>
      <c r="F21" s="868"/>
      <c r="G21" s="868"/>
      <c r="H21" s="869"/>
    </row>
    <row r="22" spans="1:8" ht="72.75" customHeight="1" x14ac:dyDescent="0.25">
      <c r="A22" s="158">
        <v>11</v>
      </c>
      <c r="B22" s="862" t="s">
        <v>292</v>
      </c>
      <c r="C22" s="863" t="s">
        <v>343</v>
      </c>
      <c r="D22" s="446">
        <v>0.85</v>
      </c>
      <c r="E22" s="864" t="s">
        <v>17</v>
      </c>
      <c r="F22" s="864">
        <v>5</v>
      </c>
      <c r="G22" s="876" t="s">
        <v>575</v>
      </c>
      <c r="H22" s="877"/>
    </row>
    <row r="23" spans="1:8" ht="71.25" customHeight="1" x14ac:dyDescent="0.25">
      <c r="A23" s="158">
        <f t="shared" si="0"/>
        <v>12</v>
      </c>
      <c r="B23" s="862" t="s">
        <v>301</v>
      </c>
      <c r="C23" s="863" t="s">
        <v>344</v>
      </c>
      <c r="D23" s="864" t="s">
        <v>17</v>
      </c>
      <c r="E23" s="446">
        <v>0.85</v>
      </c>
      <c r="F23" s="864">
        <v>5</v>
      </c>
      <c r="G23" s="865" t="s">
        <v>575</v>
      </c>
      <c r="H23" s="866"/>
    </row>
    <row r="24" spans="1:8" ht="51.75" customHeight="1" x14ac:dyDescent="0.25">
      <c r="A24" s="158">
        <f t="shared" si="0"/>
        <v>13</v>
      </c>
      <c r="B24" s="878" t="s">
        <v>381</v>
      </c>
      <c r="C24" s="879" t="s">
        <v>344</v>
      </c>
      <c r="D24" s="880" t="s">
        <v>316</v>
      </c>
      <c r="E24" s="880"/>
      <c r="F24" s="864">
        <v>5</v>
      </c>
      <c r="G24" s="865" t="s">
        <v>576</v>
      </c>
      <c r="H24" s="866"/>
    </row>
    <row r="25" spans="1:8" ht="75" customHeight="1" x14ac:dyDescent="0.25">
      <c r="A25" s="158">
        <v>14</v>
      </c>
      <c r="B25" s="881" t="s">
        <v>577</v>
      </c>
      <c r="C25" s="881" t="s">
        <v>586</v>
      </c>
      <c r="D25" s="882" t="s">
        <v>578</v>
      </c>
      <c r="E25" s="880"/>
      <c r="F25" s="864">
        <v>10</v>
      </c>
      <c r="G25" s="872" t="s">
        <v>579</v>
      </c>
      <c r="H25" s="883"/>
    </row>
    <row r="26" spans="1:8" ht="18.600000000000001" customHeight="1" x14ac:dyDescent="0.25">
      <c r="A26" s="158"/>
      <c r="B26" s="564" t="s">
        <v>370</v>
      </c>
      <c r="C26" s="565"/>
      <c r="D26" s="566"/>
      <c r="E26" s="566"/>
      <c r="F26" s="566"/>
      <c r="G26" s="566"/>
      <c r="H26" s="567"/>
    </row>
    <row r="27" spans="1:8" ht="51.75" customHeight="1" x14ac:dyDescent="0.25">
      <c r="A27" s="158">
        <v>15</v>
      </c>
      <c r="B27" s="143" t="s">
        <v>380</v>
      </c>
      <c r="C27" s="138" t="s">
        <v>371</v>
      </c>
      <c r="D27" s="320">
        <v>0.75</v>
      </c>
      <c r="E27" s="320">
        <v>0.75</v>
      </c>
      <c r="F27" s="321">
        <v>2</v>
      </c>
      <c r="G27" s="568" t="s">
        <v>373</v>
      </c>
      <c r="H27" s="569"/>
    </row>
    <row r="28" spans="1:8" ht="18.600000000000001" customHeight="1" x14ac:dyDescent="0.25">
      <c r="A28" s="159">
        <f>A24</f>
        <v>13</v>
      </c>
      <c r="B28" s="570" t="s">
        <v>27</v>
      </c>
      <c r="C28" s="566"/>
      <c r="D28" s="566"/>
      <c r="E28" s="566"/>
      <c r="F28" s="566"/>
      <c r="G28" s="566"/>
      <c r="H28" s="567"/>
    </row>
    <row r="29" spans="1:8" ht="54.95" customHeight="1" x14ac:dyDescent="0.25">
      <c r="A29" s="158">
        <v>16</v>
      </c>
      <c r="B29" s="143" t="s">
        <v>120</v>
      </c>
      <c r="C29" s="138" t="s">
        <v>618</v>
      </c>
      <c r="D29" s="563" t="s">
        <v>30</v>
      </c>
      <c r="E29" s="563"/>
      <c r="F29" s="321">
        <v>5</v>
      </c>
      <c r="G29" s="571" t="s">
        <v>378</v>
      </c>
      <c r="H29" s="572"/>
    </row>
    <row r="30" spans="1:8" ht="49.5" customHeight="1" x14ac:dyDescent="0.25">
      <c r="A30" s="158">
        <f t="shared" si="0"/>
        <v>17</v>
      </c>
      <c r="B30" s="217" t="s">
        <v>123</v>
      </c>
      <c r="C30" s="145" t="s">
        <v>114</v>
      </c>
      <c r="D30" s="558" t="s">
        <v>124</v>
      </c>
      <c r="E30" s="558"/>
      <c r="F30" s="322">
        <v>5</v>
      </c>
      <c r="G30" s="561" t="s">
        <v>121</v>
      </c>
      <c r="H30" s="562"/>
    </row>
    <row r="31" spans="1:8" ht="68.25" customHeight="1" x14ac:dyDescent="0.25">
      <c r="A31" s="158">
        <v>18</v>
      </c>
      <c r="B31" s="447" t="s">
        <v>468</v>
      </c>
      <c r="C31" s="447" t="s">
        <v>469</v>
      </c>
      <c r="D31" s="558" t="s">
        <v>542</v>
      </c>
      <c r="E31" s="558"/>
      <c r="F31" s="448">
        <v>2</v>
      </c>
      <c r="G31" s="540" t="s">
        <v>543</v>
      </c>
      <c r="H31" s="541"/>
    </row>
    <row r="32" spans="1:8" ht="18" customHeight="1" x14ac:dyDescent="0.25">
      <c r="A32" s="158"/>
      <c r="B32" s="559" t="s">
        <v>580</v>
      </c>
      <c r="C32" s="560"/>
      <c r="D32" s="560"/>
      <c r="E32" s="560"/>
      <c r="F32" s="560"/>
      <c r="G32" s="560"/>
      <c r="H32" s="560"/>
    </row>
    <row r="33" spans="1:8" ht="78.75" customHeight="1" x14ac:dyDescent="0.25">
      <c r="A33" s="158">
        <v>19</v>
      </c>
      <c r="B33" s="884" t="s">
        <v>581</v>
      </c>
      <c r="C33" s="881" t="s">
        <v>582</v>
      </c>
      <c r="D33" s="885" t="s">
        <v>583</v>
      </c>
      <c r="E33" s="885"/>
      <c r="F33" s="886">
        <v>3</v>
      </c>
      <c r="G33" s="887" t="s">
        <v>584</v>
      </c>
      <c r="H33" s="888"/>
    </row>
    <row r="34" spans="1:8" ht="21.75" customHeight="1" x14ac:dyDescent="0.25">
      <c r="A34" s="158"/>
      <c r="B34" s="550" t="s">
        <v>445</v>
      </c>
      <c r="C34" s="551"/>
      <c r="D34" s="323"/>
      <c r="E34" s="323"/>
      <c r="F34" s="146" t="s">
        <v>6</v>
      </c>
      <c r="G34" s="554">
        <f>SUM(F7:F8, F10:F11, F13, F15:F18, F22, F24:F25, F27, F29:F31, F33:F33)</f>
        <v>100</v>
      </c>
      <c r="H34" s="555"/>
    </row>
    <row r="35" spans="1:8" ht="21.75" customHeight="1" x14ac:dyDescent="0.25">
      <c r="A35" s="158"/>
      <c r="B35" s="552"/>
      <c r="C35" s="553"/>
      <c r="D35" s="324"/>
      <c r="E35" s="324"/>
      <c r="F35" s="147" t="s">
        <v>5</v>
      </c>
      <c r="G35" s="556">
        <f>SUM(F7:F8, F10, F13, F15:F18, F20, F23:F25, F27, F29:F31, F33:F33)</f>
        <v>100</v>
      </c>
      <c r="H35" s="557"/>
    </row>
    <row r="36" spans="1:8" ht="21.75" customHeight="1" x14ac:dyDescent="0.25">
      <c r="A36" s="159">
        <f>A30</f>
        <v>17</v>
      </c>
      <c r="B36" s="534" t="s">
        <v>346</v>
      </c>
      <c r="C36" s="535"/>
      <c r="D36" s="535"/>
      <c r="E36" s="535"/>
      <c r="F36" s="535"/>
      <c r="G36" s="535"/>
      <c r="H36" s="536"/>
    </row>
    <row r="37" spans="1:8" ht="51" customHeight="1" x14ac:dyDescent="0.25">
      <c r="A37" s="159"/>
      <c r="B37" s="449" t="s">
        <v>116</v>
      </c>
      <c r="C37" s="449" t="s">
        <v>117</v>
      </c>
      <c r="D37" s="537" t="s">
        <v>585</v>
      </c>
      <c r="E37" s="537"/>
      <c r="F37" s="450" t="s">
        <v>134</v>
      </c>
      <c r="G37" s="538" t="s">
        <v>565</v>
      </c>
      <c r="H37" s="538"/>
    </row>
    <row r="38" spans="1:8" ht="110.25" customHeight="1" x14ac:dyDescent="0.25">
      <c r="A38" s="158">
        <v>20</v>
      </c>
      <c r="B38" s="451" t="s">
        <v>470</v>
      </c>
      <c r="C38" s="452" t="s">
        <v>471</v>
      </c>
      <c r="D38" s="539">
        <v>2</v>
      </c>
      <c r="E38" s="539"/>
      <c r="F38" s="453" t="s">
        <v>8</v>
      </c>
      <c r="G38" s="540" t="s">
        <v>349</v>
      </c>
      <c r="H38" s="541"/>
    </row>
    <row r="39" spans="1:8" ht="40.5" customHeight="1" x14ac:dyDescent="0.25">
      <c r="A39" s="158">
        <v>21</v>
      </c>
      <c r="B39" s="451" t="s">
        <v>393</v>
      </c>
      <c r="C39" s="452" t="s">
        <v>350</v>
      </c>
      <c r="D39" s="546">
        <v>2</v>
      </c>
      <c r="E39" s="547"/>
      <c r="F39" s="453" t="s">
        <v>8</v>
      </c>
      <c r="G39" s="542"/>
      <c r="H39" s="543"/>
    </row>
    <row r="40" spans="1:8" ht="61.5" customHeight="1" x14ac:dyDescent="0.25">
      <c r="A40" s="158">
        <v>22</v>
      </c>
      <c r="B40" s="451" t="s">
        <v>351</v>
      </c>
      <c r="C40" s="452" t="s">
        <v>336</v>
      </c>
      <c r="D40" s="546">
        <v>2</v>
      </c>
      <c r="E40" s="547"/>
      <c r="F40" s="453" t="s">
        <v>8</v>
      </c>
      <c r="G40" s="542"/>
      <c r="H40" s="543"/>
    </row>
    <row r="41" spans="1:8" ht="50.25" customHeight="1" x14ac:dyDescent="0.25">
      <c r="A41" s="158">
        <v>23</v>
      </c>
      <c r="B41" s="451" t="s">
        <v>472</v>
      </c>
      <c r="C41" s="452" t="s">
        <v>372</v>
      </c>
      <c r="D41" s="546">
        <v>2</v>
      </c>
      <c r="E41" s="547"/>
      <c r="F41" s="453" t="s">
        <v>8</v>
      </c>
      <c r="G41" s="542"/>
      <c r="H41" s="543"/>
    </row>
    <row r="42" spans="1:8" ht="85.5" customHeight="1" x14ac:dyDescent="0.25">
      <c r="A42" s="158">
        <v>24</v>
      </c>
      <c r="B42" s="451" t="s">
        <v>473</v>
      </c>
      <c r="C42" s="452" t="s">
        <v>372</v>
      </c>
      <c r="D42" s="548">
        <v>2</v>
      </c>
      <c r="E42" s="549"/>
      <c r="F42" s="453" t="s">
        <v>8</v>
      </c>
      <c r="G42" s="544"/>
      <c r="H42" s="545"/>
    </row>
    <row r="43" spans="1:8" ht="24.75" customHeight="1" x14ac:dyDescent="0.25">
      <c r="A43" s="158"/>
      <c r="B43" s="529" t="s">
        <v>396</v>
      </c>
      <c r="C43" s="530"/>
      <c r="D43" s="530"/>
      <c r="E43" s="530"/>
      <c r="F43" s="531"/>
      <c r="G43" s="532">
        <f>SUM(D38:E42)</f>
        <v>10</v>
      </c>
      <c r="H43" s="533"/>
    </row>
    <row r="44" spans="1:8" ht="24.75" customHeight="1" x14ac:dyDescent="0.25">
      <c r="B44" s="522" t="s">
        <v>476</v>
      </c>
      <c r="C44" s="523"/>
      <c r="D44" s="523"/>
      <c r="E44" s="523"/>
      <c r="F44" s="524"/>
      <c r="G44" s="525">
        <f>G34+G43</f>
        <v>110</v>
      </c>
      <c r="H44" s="526"/>
    </row>
    <row r="45" spans="1:8" x14ac:dyDescent="0.25">
      <c r="B45" s="527" t="s">
        <v>379</v>
      </c>
      <c r="C45" s="527"/>
      <c r="D45" s="527"/>
      <c r="E45" s="527"/>
      <c r="F45" s="527"/>
      <c r="G45" s="527"/>
      <c r="H45" s="527"/>
    </row>
    <row r="46" spans="1:8" x14ac:dyDescent="0.25">
      <c r="B46" s="528" t="s">
        <v>397</v>
      </c>
      <c r="C46" s="528"/>
      <c r="D46" s="528"/>
      <c r="E46" s="528"/>
      <c r="F46" s="528"/>
      <c r="G46" s="528"/>
      <c r="H46" s="528"/>
    </row>
    <row r="47" spans="1:8" ht="20.45" customHeight="1" x14ac:dyDescent="0.25"/>
  </sheetData>
  <mergeCells count="58">
    <mergeCell ref="B5:H5"/>
    <mergeCell ref="B6:H6"/>
    <mergeCell ref="D7:E7"/>
    <mergeCell ref="G7:H7"/>
    <mergeCell ref="B1:H1"/>
    <mergeCell ref="B2:H2"/>
    <mergeCell ref="B3:B4"/>
    <mergeCell ref="C3:C4"/>
    <mergeCell ref="D3:E3"/>
    <mergeCell ref="G3:H3"/>
    <mergeCell ref="B21:H21"/>
    <mergeCell ref="D8:E8"/>
    <mergeCell ref="G8:H8"/>
    <mergeCell ref="B9:H9"/>
    <mergeCell ref="D10:E10"/>
    <mergeCell ref="G10:H10"/>
    <mergeCell ref="G11:H11"/>
    <mergeCell ref="B12:H12"/>
    <mergeCell ref="D13:E13"/>
    <mergeCell ref="G13:H13"/>
    <mergeCell ref="B14:H14"/>
    <mergeCell ref="B19:H19"/>
    <mergeCell ref="D30:E30"/>
    <mergeCell ref="G30:H30"/>
    <mergeCell ref="G22:H22"/>
    <mergeCell ref="G23:H23"/>
    <mergeCell ref="D24:E24"/>
    <mergeCell ref="G24:H24"/>
    <mergeCell ref="D25:E25"/>
    <mergeCell ref="G25:H25"/>
    <mergeCell ref="B26:H26"/>
    <mergeCell ref="G27:H27"/>
    <mergeCell ref="B28:H28"/>
    <mergeCell ref="D29:E29"/>
    <mergeCell ref="G29:H29"/>
    <mergeCell ref="B34:C35"/>
    <mergeCell ref="G34:H34"/>
    <mergeCell ref="G35:H35"/>
    <mergeCell ref="D31:E31"/>
    <mergeCell ref="G31:H31"/>
    <mergeCell ref="B32:H32"/>
    <mergeCell ref="D33:E33"/>
    <mergeCell ref="G33:H33"/>
    <mergeCell ref="B36:H36"/>
    <mergeCell ref="D37:E37"/>
    <mergeCell ref="G37:H37"/>
    <mergeCell ref="D38:E38"/>
    <mergeCell ref="G38:H42"/>
    <mergeCell ref="D39:E39"/>
    <mergeCell ref="D40:E40"/>
    <mergeCell ref="D41:E41"/>
    <mergeCell ref="D42:E42"/>
    <mergeCell ref="B44:F44"/>
    <mergeCell ref="G44:H44"/>
    <mergeCell ref="B45:H45"/>
    <mergeCell ref="B46:H46"/>
    <mergeCell ref="B43:F43"/>
    <mergeCell ref="G43:H43"/>
  </mergeCells>
  <pageMargins left="0.7" right="0.7" top="0.75" bottom="0.75" header="0.3" footer="0.3"/>
  <pageSetup scale="28" orientation="portrait" r:id="rId1"/>
  <ignoredErrors>
    <ignoredError sqref="A9 A12 A14 A20" formula="1"/>
    <ignoredError sqref="G3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7123-5AD0-4261-B05A-4996F3B0740C}">
  <sheetPr>
    <tabColor theme="8" tint="0.39997558519241921"/>
    <pageSetUpPr fitToPage="1"/>
  </sheetPr>
  <dimension ref="A1:D38"/>
  <sheetViews>
    <sheetView workbookViewId="0"/>
  </sheetViews>
  <sheetFormatPr defaultColWidth="8.85546875" defaultRowHeight="15" x14ac:dyDescent="0.25"/>
  <cols>
    <col min="1" max="1" width="3.85546875" style="461" customWidth="1"/>
    <col min="2" max="2" width="49.140625" style="454" customWidth="1"/>
    <col min="3" max="3" width="32.85546875" style="454" customWidth="1"/>
    <col min="4" max="4" width="100.28515625" style="454" customWidth="1"/>
    <col min="5" max="5" width="37.5703125" style="454" customWidth="1"/>
    <col min="6" max="16384" width="8.85546875" style="454"/>
  </cols>
  <sheetData>
    <row r="1" spans="1:4" ht="35.450000000000003" customHeight="1" x14ac:dyDescent="0.25">
      <c r="B1" s="603" t="s">
        <v>588</v>
      </c>
      <c r="C1" s="604"/>
      <c r="D1" s="605"/>
    </row>
    <row r="2" spans="1:4" ht="50.25" customHeight="1" x14ac:dyDescent="0.25">
      <c r="B2" s="606" t="s">
        <v>589</v>
      </c>
      <c r="C2" s="607"/>
      <c r="D2" s="608"/>
    </row>
    <row r="3" spans="1:4" ht="30" x14ac:dyDescent="0.25">
      <c r="B3" s="460" t="s">
        <v>116</v>
      </c>
      <c r="C3" s="460" t="s">
        <v>117</v>
      </c>
      <c r="D3" s="460" t="s">
        <v>126</v>
      </c>
    </row>
    <row r="4" spans="1:4" ht="21.6" customHeight="1" x14ac:dyDescent="0.25">
      <c r="B4" s="609" t="s">
        <v>444</v>
      </c>
      <c r="C4" s="610"/>
      <c r="D4" s="611"/>
    </row>
    <row r="5" spans="1:4" x14ac:dyDescent="0.25">
      <c r="B5" s="600" t="s">
        <v>11</v>
      </c>
      <c r="C5" s="601"/>
      <c r="D5" s="602"/>
    </row>
    <row r="6" spans="1:4" ht="30" x14ac:dyDescent="0.25">
      <c r="A6" s="461">
        <v>1</v>
      </c>
      <c r="B6" s="462" t="s">
        <v>290</v>
      </c>
      <c r="C6" s="459" t="s">
        <v>114</v>
      </c>
      <c r="D6" s="457" t="s">
        <v>475</v>
      </c>
    </row>
    <row r="7" spans="1:4" ht="81" customHeight="1" x14ac:dyDescent="0.25">
      <c r="A7" s="461">
        <v>2</v>
      </c>
      <c r="B7" s="463" t="s">
        <v>291</v>
      </c>
      <c r="C7" s="459" t="s">
        <v>335</v>
      </c>
      <c r="D7" s="455" t="s">
        <v>587</v>
      </c>
    </row>
    <row r="8" spans="1:4" x14ac:dyDescent="0.25">
      <c r="B8" s="600" t="s">
        <v>15</v>
      </c>
      <c r="C8" s="601"/>
      <c r="D8" s="602"/>
    </row>
    <row r="9" spans="1:4" ht="121.5" customHeight="1" x14ac:dyDescent="0.25">
      <c r="A9" s="464">
        <v>3</v>
      </c>
      <c r="B9" s="463" t="s">
        <v>467</v>
      </c>
      <c r="C9" s="137" t="s">
        <v>548</v>
      </c>
      <c r="D9" s="455" t="s">
        <v>601</v>
      </c>
    </row>
    <row r="10" spans="1:4" ht="68.099999999999994" customHeight="1" x14ac:dyDescent="0.25">
      <c r="A10" s="464">
        <v>4</v>
      </c>
      <c r="B10" s="463" t="s">
        <v>345</v>
      </c>
      <c r="C10" s="137" t="s">
        <v>337</v>
      </c>
      <c r="D10" s="455" t="s">
        <v>600</v>
      </c>
    </row>
    <row r="11" spans="1:4" x14ac:dyDescent="0.25">
      <c r="B11" s="600" t="s">
        <v>317</v>
      </c>
      <c r="C11" s="601"/>
      <c r="D11" s="602"/>
    </row>
    <row r="12" spans="1:4" ht="90" x14ac:dyDescent="0.25">
      <c r="A12" s="461">
        <v>5</v>
      </c>
      <c r="B12" s="463" t="s">
        <v>318</v>
      </c>
      <c r="C12" s="137" t="s">
        <v>338</v>
      </c>
      <c r="D12" s="457" t="s">
        <v>353</v>
      </c>
    </row>
    <row r="13" spans="1:4" x14ac:dyDescent="0.25">
      <c r="B13" s="600" t="s">
        <v>18</v>
      </c>
      <c r="C13" s="601"/>
      <c r="D13" s="602"/>
    </row>
    <row r="14" spans="1:4" ht="192" customHeight="1" x14ac:dyDescent="0.25">
      <c r="A14" s="461">
        <v>6</v>
      </c>
      <c r="B14" s="463" t="s">
        <v>65</v>
      </c>
      <c r="C14" s="137" t="s">
        <v>340</v>
      </c>
      <c r="D14" s="455" t="s">
        <v>599</v>
      </c>
    </row>
    <row r="15" spans="1:4" ht="165" x14ac:dyDescent="0.25">
      <c r="A15" s="461">
        <v>7</v>
      </c>
      <c r="B15" s="463" t="s">
        <v>374</v>
      </c>
      <c r="C15" s="137" t="s">
        <v>340</v>
      </c>
      <c r="D15" s="455" t="s">
        <v>598</v>
      </c>
    </row>
    <row r="16" spans="1:4" ht="174" customHeight="1" x14ac:dyDescent="0.25">
      <c r="A16" s="461">
        <v>8</v>
      </c>
      <c r="B16" s="463" t="s">
        <v>572</v>
      </c>
      <c r="C16" s="137" t="s">
        <v>348</v>
      </c>
      <c r="D16" s="517" t="s">
        <v>638</v>
      </c>
    </row>
    <row r="17" spans="1:4" ht="152.44999999999999" customHeight="1" x14ac:dyDescent="0.25">
      <c r="A17" s="461">
        <v>9</v>
      </c>
      <c r="B17" s="463" t="s">
        <v>375</v>
      </c>
      <c r="C17" s="137" t="s">
        <v>341</v>
      </c>
      <c r="D17" s="455" t="s">
        <v>597</v>
      </c>
    </row>
    <row r="18" spans="1:4" x14ac:dyDescent="0.25">
      <c r="B18" s="600" t="s">
        <v>22</v>
      </c>
      <c r="C18" s="601"/>
      <c r="D18" s="602"/>
    </row>
    <row r="19" spans="1:4" ht="66.599999999999994" customHeight="1" x14ac:dyDescent="0.25">
      <c r="A19" s="461">
        <v>10</v>
      </c>
      <c r="B19" s="459" t="s">
        <v>125</v>
      </c>
      <c r="C19" s="459" t="s">
        <v>342</v>
      </c>
      <c r="D19" s="455" t="s">
        <v>596</v>
      </c>
    </row>
    <row r="20" spans="1:4" x14ac:dyDescent="0.25">
      <c r="B20" s="600" t="s">
        <v>25</v>
      </c>
      <c r="C20" s="601"/>
      <c r="D20" s="602"/>
    </row>
    <row r="21" spans="1:4" ht="75" x14ac:dyDescent="0.25">
      <c r="A21" s="461">
        <v>11</v>
      </c>
      <c r="B21" s="463" t="s">
        <v>292</v>
      </c>
      <c r="C21" s="137" t="s">
        <v>343</v>
      </c>
      <c r="D21" s="455" t="s">
        <v>595</v>
      </c>
    </row>
    <row r="22" spans="1:4" ht="54" customHeight="1" x14ac:dyDescent="0.25">
      <c r="A22" s="461">
        <v>12</v>
      </c>
      <c r="B22" s="463" t="s">
        <v>301</v>
      </c>
      <c r="C22" s="137" t="s">
        <v>344</v>
      </c>
      <c r="D22" s="457" t="s">
        <v>302</v>
      </c>
    </row>
    <row r="23" spans="1:4" ht="78.599999999999994" customHeight="1" x14ac:dyDescent="0.25">
      <c r="A23" s="461">
        <v>13</v>
      </c>
      <c r="B23" s="465" t="s">
        <v>381</v>
      </c>
      <c r="C23" s="466" t="s">
        <v>344</v>
      </c>
      <c r="D23" s="467" t="s">
        <v>594</v>
      </c>
    </row>
    <row r="24" spans="1:4" ht="167.25" customHeight="1" x14ac:dyDescent="0.25">
      <c r="A24" s="461">
        <v>14</v>
      </c>
      <c r="B24" s="881" t="s">
        <v>577</v>
      </c>
      <c r="C24" s="881" t="s">
        <v>586</v>
      </c>
      <c r="D24" s="457" t="s">
        <v>654</v>
      </c>
    </row>
    <row r="25" spans="1:4" x14ac:dyDescent="0.25">
      <c r="B25" s="597" t="s">
        <v>370</v>
      </c>
      <c r="C25" s="598"/>
      <c r="D25" s="599"/>
    </row>
    <row r="26" spans="1:4" ht="69.95" customHeight="1" x14ac:dyDescent="0.25">
      <c r="A26" s="461">
        <v>15</v>
      </c>
      <c r="B26" s="468" t="s">
        <v>380</v>
      </c>
      <c r="C26" s="468" t="s">
        <v>371</v>
      </c>
      <c r="D26" s="455" t="s">
        <v>504</v>
      </c>
    </row>
    <row r="27" spans="1:4" x14ac:dyDescent="0.25">
      <c r="B27" s="597" t="s">
        <v>27</v>
      </c>
      <c r="C27" s="598"/>
      <c r="D27" s="599"/>
    </row>
    <row r="28" spans="1:4" ht="36" customHeight="1" x14ac:dyDescent="0.25">
      <c r="A28" s="461">
        <v>16</v>
      </c>
      <c r="B28" s="463" t="s">
        <v>120</v>
      </c>
      <c r="C28" s="137" t="s">
        <v>618</v>
      </c>
      <c r="D28" s="457" t="s">
        <v>619</v>
      </c>
    </row>
    <row r="29" spans="1:4" ht="33.75" customHeight="1" x14ac:dyDescent="0.25">
      <c r="A29" s="461">
        <v>17</v>
      </c>
      <c r="B29" s="465" t="s">
        <v>123</v>
      </c>
      <c r="C29" s="466" t="s">
        <v>114</v>
      </c>
      <c r="D29" s="457" t="s">
        <v>475</v>
      </c>
    </row>
    <row r="30" spans="1:4" ht="39" customHeight="1" x14ac:dyDescent="0.25">
      <c r="A30" s="464">
        <v>18</v>
      </c>
      <c r="B30" s="468" t="s">
        <v>468</v>
      </c>
      <c r="C30" s="468" t="s">
        <v>469</v>
      </c>
      <c r="D30" s="456" t="s">
        <v>474</v>
      </c>
    </row>
    <row r="31" spans="1:4" x14ac:dyDescent="0.25">
      <c r="A31" s="464"/>
      <c r="B31" s="597" t="s">
        <v>580</v>
      </c>
      <c r="C31" s="598"/>
      <c r="D31" s="599"/>
    </row>
    <row r="32" spans="1:4" ht="71.25" customHeight="1" x14ac:dyDescent="0.25">
      <c r="A32" s="464">
        <v>19</v>
      </c>
      <c r="B32" s="516" t="s">
        <v>581</v>
      </c>
      <c r="C32" s="452" t="s">
        <v>582</v>
      </c>
      <c r="D32" s="517" t="s">
        <v>602</v>
      </c>
    </row>
    <row r="33" spans="1:4" ht="15.75" customHeight="1" x14ac:dyDescent="0.25">
      <c r="B33" s="597" t="s">
        <v>346</v>
      </c>
      <c r="C33" s="598"/>
      <c r="D33" s="599"/>
    </row>
    <row r="34" spans="1:4" ht="120" x14ac:dyDescent="0.25">
      <c r="A34" s="461">
        <v>20</v>
      </c>
      <c r="B34" s="469" t="s">
        <v>470</v>
      </c>
      <c r="C34" s="468" t="s">
        <v>471</v>
      </c>
      <c r="D34" s="455" t="s">
        <v>590</v>
      </c>
    </row>
    <row r="35" spans="1:4" ht="69.75" customHeight="1" x14ac:dyDescent="0.25">
      <c r="A35" s="461">
        <v>21</v>
      </c>
      <c r="B35" s="458" t="s">
        <v>393</v>
      </c>
      <c r="C35" s="459" t="s">
        <v>350</v>
      </c>
      <c r="D35" s="455" t="s">
        <v>591</v>
      </c>
    </row>
    <row r="36" spans="1:4" ht="72" customHeight="1" x14ac:dyDescent="0.25">
      <c r="A36" s="461">
        <v>22</v>
      </c>
      <c r="B36" s="458" t="s">
        <v>351</v>
      </c>
      <c r="C36" s="459" t="s">
        <v>336</v>
      </c>
      <c r="D36" s="455" t="s">
        <v>398</v>
      </c>
    </row>
    <row r="37" spans="1:4" ht="69.75" customHeight="1" x14ac:dyDescent="0.25">
      <c r="A37" s="464">
        <v>23</v>
      </c>
      <c r="B37" s="469" t="s">
        <v>472</v>
      </c>
      <c r="C37" s="468" t="s">
        <v>372</v>
      </c>
      <c r="D37" s="455" t="s">
        <v>592</v>
      </c>
    </row>
    <row r="38" spans="1:4" ht="74.25" customHeight="1" x14ac:dyDescent="0.25">
      <c r="A38" s="464">
        <v>24</v>
      </c>
      <c r="B38" s="469" t="s">
        <v>473</v>
      </c>
      <c r="C38" s="468" t="s">
        <v>372</v>
      </c>
      <c r="D38" s="455" t="s">
        <v>593</v>
      </c>
    </row>
  </sheetData>
  <mergeCells count="13">
    <mergeCell ref="B11:D11"/>
    <mergeCell ref="B1:D1"/>
    <mergeCell ref="B2:D2"/>
    <mergeCell ref="B5:D5"/>
    <mergeCell ref="B8:D8"/>
    <mergeCell ref="B4:D4"/>
    <mergeCell ref="B33:D33"/>
    <mergeCell ref="B31:D31"/>
    <mergeCell ref="B13:D13"/>
    <mergeCell ref="B18:D18"/>
    <mergeCell ref="B20:D20"/>
    <mergeCell ref="B27:D27"/>
    <mergeCell ref="B25:D25"/>
  </mergeCells>
  <pageMargins left="0.45" right="0.45" top="0.75" bottom="0.5" header="0.3" footer="0.3"/>
  <pageSetup scale="5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CA3E-B0C4-41C3-AA41-110AF7AB2158}">
  <sheetPr>
    <tabColor theme="8" tint="0.39997558519241921"/>
  </sheetPr>
  <dimension ref="A1:H51"/>
  <sheetViews>
    <sheetView zoomScaleNormal="100" workbookViewId="0"/>
  </sheetViews>
  <sheetFormatPr defaultColWidth="8.85546875" defaultRowHeight="15" x14ac:dyDescent="0.25"/>
  <cols>
    <col min="1" max="1" width="4.85546875" style="139" customWidth="1"/>
    <col min="2" max="2" width="45.28515625" style="148" customWidth="1"/>
    <col min="3" max="3" width="23.7109375" style="148" customWidth="1"/>
    <col min="4" max="4" width="8.140625" style="149" customWidth="1"/>
    <col min="5" max="5" width="7.42578125" style="149" customWidth="1"/>
    <col min="6" max="6" width="13.140625" style="149" customWidth="1"/>
    <col min="7" max="7" width="33.28515625" style="160" customWidth="1"/>
    <col min="8" max="16384" width="8.85546875" style="140"/>
  </cols>
  <sheetData>
    <row r="1" spans="1:7" ht="32.450000000000003" customHeight="1" x14ac:dyDescent="0.25">
      <c r="B1" s="636" t="s">
        <v>603</v>
      </c>
      <c r="C1" s="636"/>
      <c r="D1" s="636"/>
      <c r="E1" s="636"/>
      <c r="F1" s="636"/>
      <c r="G1" s="636"/>
    </row>
    <row r="2" spans="1:7" ht="47.1" customHeight="1" x14ac:dyDescent="0.25">
      <c r="B2" s="637" t="s">
        <v>384</v>
      </c>
      <c r="C2" s="637"/>
      <c r="D2" s="637"/>
      <c r="E2" s="637"/>
      <c r="F2" s="637"/>
      <c r="G2" s="637"/>
    </row>
    <row r="3" spans="1:7" ht="29.45" customHeight="1" x14ac:dyDescent="0.25">
      <c r="B3" s="538" t="s">
        <v>116</v>
      </c>
      <c r="C3" s="538" t="s">
        <v>117</v>
      </c>
      <c r="D3" s="538" t="s">
        <v>563</v>
      </c>
      <c r="E3" s="538"/>
      <c r="F3" s="449" t="s">
        <v>564</v>
      </c>
      <c r="G3" s="538" t="s">
        <v>382</v>
      </c>
    </row>
    <row r="4" spans="1:7" ht="25.5" customHeight="1" x14ac:dyDescent="0.25">
      <c r="B4" s="638"/>
      <c r="C4" s="638"/>
      <c r="D4" s="449" t="s">
        <v>6</v>
      </c>
      <c r="E4" s="449" t="s">
        <v>5</v>
      </c>
      <c r="F4" s="449" t="s">
        <v>8</v>
      </c>
      <c r="G4" s="538"/>
    </row>
    <row r="5" spans="1:7" ht="20.45" customHeight="1" x14ac:dyDescent="0.25">
      <c r="B5" s="621" t="s">
        <v>444</v>
      </c>
      <c r="C5" s="621"/>
      <c r="D5" s="621"/>
      <c r="E5" s="621"/>
      <c r="F5" s="621"/>
      <c r="G5" s="621"/>
    </row>
    <row r="6" spans="1:7" ht="17.25" customHeight="1" x14ac:dyDescent="0.25">
      <c r="B6" s="639" t="s">
        <v>11</v>
      </c>
      <c r="C6" s="639"/>
      <c r="D6" s="639"/>
      <c r="E6" s="639"/>
      <c r="F6" s="639"/>
      <c r="G6" s="639"/>
    </row>
    <row r="7" spans="1:7" ht="63.95" customHeight="1" x14ac:dyDescent="0.25">
      <c r="A7" s="139">
        <v>1</v>
      </c>
      <c r="B7" s="143" t="s">
        <v>290</v>
      </c>
      <c r="C7" s="138" t="s">
        <v>114</v>
      </c>
      <c r="D7" s="640">
        <v>0.95</v>
      </c>
      <c r="E7" s="641"/>
      <c r="F7" s="144">
        <v>10</v>
      </c>
      <c r="G7" s="468" t="s">
        <v>383</v>
      </c>
    </row>
    <row r="8" spans="1:7" ht="60.95" customHeight="1" x14ac:dyDescent="0.25">
      <c r="A8" s="158">
        <v>2</v>
      </c>
      <c r="B8" s="143" t="s">
        <v>291</v>
      </c>
      <c r="C8" s="138" t="s">
        <v>335</v>
      </c>
      <c r="D8" s="642">
        <v>0.95</v>
      </c>
      <c r="E8" s="643"/>
      <c r="F8" s="144">
        <v>10</v>
      </c>
      <c r="G8" s="468" t="s">
        <v>383</v>
      </c>
    </row>
    <row r="9" spans="1:7" x14ac:dyDescent="0.25">
      <c r="A9" s="159"/>
      <c r="B9" s="631" t="s">
        <v>15</v>
      </c>
      <c r="C9" s="631"/>
      <c r="D9" s="631"/>
      <c r="E9" s="631"/>
      <c r="F9" s="631"/>
      <c r="G9" s="631"/>
    </row>
    <row r="10" spans="1:7" ht="92.1" customHeight="1" x14ac:dyDescent="0.25">
      <c r="A10" s="158">
        <v>3</v>
      </c>
      <c r="B10" s="143" t="s">
        <v>467</v>
      </c>
      <c r="C10" s="137" t="s">
        <v>548</v>
      </c>
      <c r="D10" s="634">
        <v>1</v>
      </c>
      <c r="E10" s="635"/>
      <c r="F10" s="144">
        <v>10</v>
      </c>
      <c r="G10" s="468" t="s">
        <v>383</v>
      </c>
    </row>
    <row r="11" spans="1:7" ht="69.599999999999994" customHeight="1" x14ac:dyDescent="0.25">
      <c r="A11" s="158">
        <v>4</v>
      </c>
      <c r="B11" s="452" t="s">
        <v>345</v>
      </c>
      <c r="C11" s="452" t="s">
        <v>337</v>
      </c>
      <c r="D11" s="470">
        <v>0.95</v>
      </c>
      <c r="E11" s="471" t="s">
        <v>17</v>
      </c>
      <c r="F11" s="471">
        <v>5</v>
      </c>
      <c r="G11" s="468" t="s">
        <v>383</v>
      </c>
    </row>
    <row r="12" spans="1:7" x14ac:dyDescent="0.25">
      <c r="A12" s="159"/>
      <c r="B12" s="631" t="s">
        <v>317</v>
      </c>
      <c r="C12" s="631"/>
      <c r="D12" s="631"/>
      <c r="E12" s="631"/>
      <c r="F12" s="631"/>
      <c r="G12" s="631"/>
    </row>
    <row r="13" spans="1:7" ht="91.5" customHeight="1" x14ac:dyDescent="0.25">
      <c r="A13" s="158">
        <v>5</v>
      </c>
      <c r="B13" s="452" t="s">
        <v>318</v>
      </c>
      <c r="C13" s="452" t="s">
        <v>338</v>
      </c>
      <c r="D13" s="632" t="s">
        <v>339</v>
      </c>
      <c r="E13" s="632"/>
      <c r="F13" s="471">
        <v>5</v>
      </c>
      <c r="G13" s="468" t="s">
        <v>383</v>
      </c>
    </row>
    <row r="14" spans="1:7" x14ac:dyDescent="0.25">
      <c r="A14" s="159"/>
      <c r="B14" s="631" t="s">
        <v>18</v>
      </c>
      <c r="C14" s="631"/>
      <c r="D14" s="631"/>
      <c r="E14" s="631"/>
      <c r="F14" s="631"/>
      <c r="G14" s="631"/>
    </row>
    <row r="15" spans="1:7" ht="68.099999999999994" customHeight="1" x14ac:dyDescent="0.25">
      <c r="A15" s="158">
        <v>6</v>
      </c>
      <c r="B15" s="452" t="s">
        <v>65</v>
      </c>
      <c r="C15" s="452" t="s">
        <v>340</v>
      </c>
      <c r="D15" s="470">
        <v>0.15</v>
      </c>
      <c r="E15" s="470">
        <v>0.25</v>
      </c>
      <c r="F15" s="471">
        <v>10</v>
      </c>
      <c r="G15" s="468" t="s">
        <v>385</v>
      </c>
    </row>
    <row r="16" spans="1:7" ht="68.099999999999994" customHeight="1" x14ac:dyDescent="0.25">
      <c r="A16" s="158">
        <v>7</v>
      </c>
      <c r="B16" s="452" t="s">
        <v>374</v>
      </c>
      <c r="C16" s="452" t="s">
        <v>340</v>
      </c>
      <c r="D16" s="470">
        <v>0.7</v>
      </c>
      <c r="E16" s="470">
        <v>0.15</v>
      </c>
      <c r="F16" s="471">
        <v>5</v>
      </c>
      <c r="G16" s="468" t="s">
        <v>383</v>
      </c>
    </row>
    <row r="17" spans="1:8" ht="66.599999999999994" customHeight="1" x14ac:dyDescent="0.25">
      <c r="A17" s="158">
        <v>8</v>
      </c>
      <c r="B17" s="452" t="s">
        <v>572</v>
      </c>
      <c r="C17" s="452" t="s">
        <v>348</v>
      </c>
      <c r="D17" s="470">
        <v>0.15</v>
      </c>
      <c r="E17" s="470">
        <v>0.7</v>
      </c>
      <c r="F17" s="471">
        <v>5</v>
      </c>
      <c r="G17" s="468" t="s">
        <v>385</v>
      </c>
    </row>
    <row r="18" spans="1:8" ht="75.95" customHeight="1" x14ac:dyDescent="0.25">
      <c r="A18" s="158">
        <v>9</v>
      </c>
      <c r="B18" s="452" t="s">
        <v>375</v>
      </c>
      <c r="C18" s="452" t="s">
        <v>341</v>
      </c>
      <c r="D18" s="470">
        <v>0.65</v>
      </c>
      <c r="E18" s="470">
        <v>0.55000000000000004</v>
      </c>
      <c r="F18" s="471">
        <v>3</v>
      </c>
      <c r="G18" s="468" t="s">
        <v>383</v>
      </c>
    </row>
    <row r="19" spans="1:8" x14ac:dyDescent="0.25">
      <c r="A19" s="159"/>
      <c r="B19" s="631" t="s">
        <v>22</v>
      </c>
      <c r="C19" s="631"/>
      <c r="D19" s="631"/>
      <c r="E19" s="631"/>
      <c r="F19" s="631"/>
      <c r="G19" s="631"/>
    </row>
    <row r="20" spans="1:8" ht="39.75" customHeight="1" x14ac:dyDescent="0.25">
      <c r="A20" s="158">
        <v>10</v>
      </c>
      <c r="B20" s="452" t="s">
        <v>125</v>
      </c>
      <c r="C20" s="452" t="s">
        <v>342</v>
      </c>
      <c r="D20" s="471" t="s">
        <v>17</v>
      </c>
      <c r="E20" s="470">
        <v>0.5</v>
      </c>
      <c r="F20" s="471">
        <v>5</v>
      </c>
      <c r="G20" s="468" t="s">
        <v>383</v>
      </c>
    </row>
    <row r="21" spans="1:8" x14ac:dyDescent="0.25">
      <c r="A21" s="159"/>
      <c r="B21" s="631" t="s">
        <v>25</v>
      </c>
      <c r="C21" s="631"/>
      <c r="D21" s="631"/>
      <c r="E21" s="631"/>
      <c r="F21" s="631"/>
      <c r="G21" s="631"/>
    </row>
    <row r="22" spans="1:8" ht="44.25" customHeight="1" x14ac:dyDescent="0.25">
      <c r="A22" s="158">
        <v>11</v>
      </c>
      <c r="B22" s="452" t="s">
        <v>292</v>
      </c>
      <c r="C22" s="452" t="s">
        <v>343</v>
      </c>
      <c r="D22" s="470">
        <v>0.85</v>
      </c>
      <c r="E22" s="471" t="s">
        <v>17</v>
      </c>
      <c r="F22" s="471">
        <v>5</v>
      </c>
      <c r="G22" s="468" t="s">
        <v>383</v>
      </c>
    </row>
    <row r="23" spans="1:8" ht="39" customHeight="1" x14ac:dyDescent="0.25">
      <c r="A23" s="158">
        <v>12</v>
      </c>
      <c r="B23" s="452" t="s">
        <v>301</v>
      </c>
      <c r="C23" s="452" t="s">
        <v>344</v>
      </c>
      <c r="D23" s="471" t="s">
        <v>17</v>
      </c>
      <c r="E23" s="470">
        <v>0.85</v>
      </c>
      <c r="F23" s="471">
        <v>5</v>
      </c>
      <c r="G23" s="468" t="s">
        <v>383</v>
      </c>
    </row>
    <row r="24" spans="1:8" ht="47.45" customHeight="1" x14ac:dyDescent="0.25">
      <c r="A24" s="158">
        <v>13</v>
      </c>
      <c r="B24" s="452" t="s">
        <v>381</v>
      </c>
      <c r="C24" s="452" t="s">
        <v>344</v>
      </c>
      <c r="D24" s="622" t="s">
        <v>316</v>
      </c>
      <c r="E24" s="622"/>
      <c r="F24" s="471">
        <v>5</v>
      </c>
      <c r="G24" s="468" t="s">
        <v>385</v>
      </c>
    </row>
    <row r="25" spans="1:8" s="472" customFormat="1" ht="61.5" customHeight="1" x14ac:dyDescent="0.25">
      <c r="A25" s="158">
        <v>14</v>
      </c>
      <c r="B25" s="468" t="s">
        <v>577</v>
      </c>
      <c r="C25" s="468" t="s">
        <v>586</v>
      </c>
      <c r="D25" s="633" t="s">
        <v>578</v>
      </c>
      <c r="E25" s="630"/>
      <c r="F25" s="471">
        <v>10</v>
      </c>
      <c r="G25" s="468" t="s">
        <v>385</v>
      </c>
    </row>
    <row r="26" spans="1:8" ht="18.600000000000001" customHeight="1" x14ac:dyDescent="0.25">
      <c r="A26" s="158"/>
      <c r="B26" s="621" t="s">
        <v>370</v>
      </c>
      <c r="C26" s="621"/>
      <c r="D26" s="621"/>
      <c r="E26" s="621"/>
      <c r="F26" s="621"/>
      <c r="G26" s="621"/>
    </row>
    <row r="27" spans="1:8" ht="51.75" customHeight="1" x14ac:dyDescent="0.25">
      <c r="A27" s="158">
        <v>15</v>
      </c>
      <c r="B27" s="452" t="s">
        <v>380</v>
      </c>
      <c r="C27" s="452" t="s">
        <v>371</v>
      </c>
      <c r="D27" s="470">
        <v>0.75</v>
      </c>
      <c r="E27" s="470">
        <v>0.75</v>
      </c>
      <c r="F27" s="471">
        <v>2</v>
      </c>
      <c r="G27" s="468" t="s">
        <v>383</v>
      </c>
    </row>
    <row r="28" spans="1:8" ht="18.600000000000001" customHeight="1" x14ac:dyDescent="0.25">
      <c r="A28" s="159"/>
      <c r="B28" s="621" t="s">
        <v>27</v>
      </c>
      <c r="C28" s="621"/>
      <c r="D28" s="621"/>
      <c r="E28" s="621"/>
      <c r="F28" s="621"/>
      <c r="G28" s="621"/>
    </row>
    <row r="29" spans="1:8" ht="54.95" customHeight="1" x14ac:dyDescent="0.25">
      <c r="A29" s="158">
        <v>16</v>
      </c>
      <c r="B29" s="452" t="s">
        <v>120</v>
      </c>
      <c r="C29" s="452" t="s">
        <v>387</v>
      </c>
      <c r="D29" s="622" t="s">
        <v>30</v>
      </c>
      <c r="E29" s="622"/>
      <c r="F29" s="471">
        <v>5</v>
      </c>
      <c r="G29" s="468" t="s">
        <v>383</v>
      </c>
    </row>
    <row r="30" spans="1:8" ht="49.5" customHeight="1" x14ac:dyDescent="0.25">
      <c r="A30" s="158">
        <v>17</v>
      </c>
      <c r="B30" s="452" t="s">
        <v>123</v>
      </c>
      <c r="C30" s="452" t="s">
        <v>114</v>
      </c>
      <c r="D30" s="622" t="s">
        <v>124</v>
      </c>
      <c r="E30" s="622"/>
      <c r="F30" s="471">
        <v>5</v>
      </c>
      <c r="G30" s="468" t="s">
        <v>383</v>
      </c>
    </row>
    <row r="31" spans="1:8" ht="74.25" customHeight="1" x14ac:dyDescent="0.25">
      <c r="A31" s="158">
        <v>18</v>
      </c>
      <c r="B31" s="452" t="s">
        <v>468</v>
      </c>
      <c r="C31" s="452" t="s">
        <v>469</v>
      </c>
      <c r="D31" s="629" t="s">
        <v>542</v>
      </c>
      <c r="E31" s="630"/>
      <c r="F31" s="471">
        <v>2</v>
      </c>
      <c r="G31" s="468" t="s">
        <v>383</v>
      </c>
    </row>
    <row r="32" spans="1:8" ht="21" customHeight="1" x14ac:dyDescent="0.25">
      <c r="A32" s="158"/>
      <c r="B32" s="621" t="s">
        <v>580</v>
      </c>
      <c r="C32" s="621"/>
      <c r="D32" s="621"/>
      <c r="E32" s="621"/>
      <c r="F32" s="621"/>
      <c r="G32" s="621"/>
      <c r="H32" s="325"/>
    </row>
    <row r="33" spans="1:7" ht="70.5" customHeight="1" x14ac:dyDescent="0.25">
      <c r="A33" s="158">
        <v>19</v>
      </c>
      <c r="B33" s="452" t="s">
        <v>581</v>
      </c>
      <c r="C33" s="452" t="s">
        <v>582</v>
      </c>
      <c r="D33" s="622" t="s">
        <v>583</v>
      </c>
      <c r="E33" s="622"/>
      <c r="F33" s="471">
        <v>3</v>
      </c>
      <c r="G33" s="468" t="s">
        <v>385</v>
      </c>
    </row>
    <row r="34" spans="1:7" ht="21.6" customHeight="1" x14ac:dyDescent="0.25">
      <c r="A34" s="158"/>
      <c r="B34" s="623" t="s">
        <v>445</v>
      </c>
      <c r="C34" s="623"/>
      <c r="D34" s="623"/>
      <c r="E34" s="623"/>
      <c r="F34" s="473" t="s">
        <v>6</v>
      </c>
      <c r="G34" s="474">
        <f>SUM(F7:F8,F10:F11,F13,F15:F18,F22,F24:F25,F27,F29:F31,F33)</f>
        <v>100</v>
      </c>
    </row>
    <row r="35" spans="1:7" ht="24.6" customHeight="1" x14ac:dyDescent="0.25">
      <c r="A35" s="158"/>
      <c r="B35" s="623"/>
      <c r="C35" s="623"/>
      <c r="D35" s="623"/>
      <c r="E35" s="623"/>
      <c r="F35" s="473" t="s">
        <v>5</v>
      </c>
      <c r="G35" s="474">
        <f>SUM(F7:F8,F10,F13,F15:F18,F20,F23:F25,F27,F29:F31,F33)</f>
        <v>100</v>
      </c>
    </row>
    <row r="36" spans="1:7" ht="20.100000000000001" customHeight="1" x14ac:dyDescent="0.25">
      <c r="A36" s="159"/>
      <c r="B36" s="616" t="s">
        <v>346</v>
      </c>
      <c r="C36" s="616"/>
      <c r="D36" s="616"/>
      <c r="E36" s="616"/>
      <c r="F36" s="616"/>
      <c r="G36" s="616"/>
    </row>
    <row r="37" spans="1:7" ht="36.950000000000003" customHeight="1" x14ac:dyDescent="0.25">
      <c r="A37" s="159"/>
      <c r="B37" s="449" t="s">
        <v>116</v>
      </c>
      <c r="C37" s="449" t="s">
        <v>117</v>
      </c>
      <c r="D37" s="538" t="s">
        <v>347</v>
      </c>
      <c r="E37" s="538"/>
      <c r="F37" s="449" t="s">
        <v>134</v>
      </c>
      <c r="G37" s="449" t="s">
        <v>382</v>
      </c>
    </row>
    <row r="38" spans="1:7" ht="37.5" customHeight="1" x14ac:dyDescent="0.25">
      <c r="A38" s="158">
        <v>20</v>
      </c>
      <c r="B38" s="451" t="s">
        <v>470</v>
      </c>
      <c r="C38" s="452" t="s">
        <v>471</v>
      </c>
      <c r="D38" s="624">
        <v>2</v>
      </c>
      <c r="E38" s="624"/>
      <c r="F38" s="471" t="s">
        <v>8</v>
      </c>
      <c r="G38" s="452" t="s">
        <v>386</v>
      </c>
    </row>
    <row r="39" spans="1:7" ht="40.5" customHeight="1" x14ac:dyDescent="0.25">
      <c r="A39" s="158">
        <v>21</v>
      </c>
      <c r="B39" s="451" t="s">
        <v>393</v>
      </c>
      <c r="C39" s="452" t="s">
        <v>350</v>
      </c>
      <c r="D39" s="624">
        <v>2</v>
      </c>
      <c r="E39" s="624"/>
      <c r="F39" s="471" t="s">
        <v>8</v>
      </c>
      <c r="G39" s="452" t="s">
        <v>386</v>
      </c>
    </row>
    <row r="40" spans="1:7" ht="30" x14ac:dyDescent="0.25">
      <c r="A40" s="158">
        <v>22</v>
      </c>
      <c r="B40" s="451" t="s">
        <v>351</v>
      </c>
      <c r="C40" s="452" t="s">
        <v>336</v>
      </c>
      <c r="D40" s="624">
        <v>2</v>
      </c>
      <c r="E40" s="624"/>
      <c r="F40" s="471" t="s">
        <v>8</v>
      </c>
      <c r="G40" s="452" t="s">
        <v>386</v>
      </c>
    </row>
    <row r="41" spans="1:7" ht="39.6" customHeight="1" x14ac:dyDescent="0.25">
      <c r="A41" s="158">
        <v>23</v>
      </c>
      <c r="B41" s="451" t="s">
        <v>472</v>
      </c>
      <c r="C41" s="452" t="s">
        <v>372</v>
      </c>
      <c r="D41" s="624">
        <v>2</v>
      </c>
      <c r="E41" s="624"/>
      <c r="F41" s="471" t="s">
        <v>8</v>
      </c>
      <c r="G41" s="452" t="s">
        <v>386</v>
      </c>
    </row>
    <row r="42" spans="1:7" ht="33.950000000000003" customHeight="1" x14ac:dyDescent="0.25">
      <c r="A42" s="158">
        <v>24</v>
      </c>
      <c r="B42" s="451" t="s">
        <v>473</v>
      </c>
      <c r="C42" s="452" t="s">
        <v>372</v>
      </c>
      <c r="D42" s="625">
        <v>2</v>
      </c>
      <c r="E42" s="625"/>
      <c r="F42" s="471" t="s">
        <v>8</v>
      </c>
      <c r="G42" s="452" t="s">
        <v>386</v>
      </c>
    </row>
    <row r="43" spans="1:7" ht="25.5" customHeight="1" x14ac:dyDescent="0.25">
      <c r="B43" s="626" t="s">
        <v>352</v>
      </c>
      <c r="C43" s="627"/>
      <c r="D43" s="627"/>
      <c r="E43" s="627"/>
      <c r="F43" s="628"/>
      <c r="G43" s="475">
        <f>SUM(D38:E42)</f>
        <v>10</v>
      </c>
    </row>
    <row r="44" spans="1:7" ht="27.75" customHeight="1" x14ac:dyDescent="0.25">
      <c r="B44" s="618" t="s">
        <v>476</v>
      </c>
      <c r="C44" s="619"/>
      <c r="D44" s="619"/>
      <c r="E44" s="619"/>
      <c r="F44" s="620"/>
      <c r="G44" s="476">
        <f>SUM(G35+G43)</f>
        <v>110</v>
      </c>
    </row>
    <row r="45" spans="1:7" x14ac:dyDescent="0.25">
      <c r="B45" s="160"/>
      <c r="C45" s="160"/>
      <c r="D45" s="160"/>
      <c r="E45" s="160"/>
      <c r="F45" s="160"/>
    </row>
    <row r="46" spans="1:7" ht="21.6" customHeight="1" x14ac:dyDescent="0.25">
      <c r="B46" s="615" t="s">
        <v>388</v>
      </c>
      <c r="C46" s="615"/>
      <c r="D46" s="615"/>
      <c r="E46" s="615"/>
      <c r="F46" s="615"/>
      <c r="G46" s="615"/>
    </row>
    <row r="47" spans="1:7" x14ac:dyDescent="0.25">
      <c r="B47" s="616" t="s">
        <v>390</v>
      </c>
      <c r="C47" s="616"/>
      <c r="D47" s="616"/>
      <c r="E47" s="616"/>
      <c r="F47" s="616"/>
      <c r="G47" s="616"/>
    </row>
    <row r="48" spans="1:7" ht="18.75" customHeight="1" x14ac:dyDescent="0.25">
      <c r="B48" s="477" t="s">
        <v>382</v>
      </c>
      <c r="C48" s="617" t="s">
        <v>389</v>
      </c>
      <c r="D48" s="617"/>
      <c r="E48" s="617" t="s">
        <v>391</v>
      </c>
      <c r="F48" s="617"/>
      <c r="G48" s="477" t="s">
        <v>604</v>
      </c>
    </row>
    <row r="49" spans="2:7" x14ac:dyDescent="0.25">
      <c r="B49" s="478" t="s">
        <v>383</v>
      </c>
      <c r="C49" s="614">
        <f>G35</f>
        <v>100</v>
      </c>
      <c r="D49" s="612"/>
      <c r="E49" s="613">
        <f>SUM(C49/G35)</f>
        <v>1</v>
      </c>
      <c r="F49" s="613"/>
      <c r="G49" s="479">
        <v>0.5</v>
      </c>
    </row>
    <row r="50" spans="2:7" x14ac:dyDescent="0.25">
      <c r="B50" s="478" t="s">
        <v>115</v>
      </c>
      <c r="C50" s="612">
        <f>SUM(F15,F17,F24:F25,F33)</f>
        <v>33</v>
      </c>
      <c r="D50" s="612"/>
      <c r="E50" s="613">
        <f>SUM(C50/G35)</f>
        <v>0.33</v>
      </c>
      <c r="F50" s="613"/>
      <c r="G50" s="479">
        <v>0.25</v>
      </c>
    </row>
    <row r="51" spans="2:7" x14ac:dyDescent="0.25">
      <c r="B51" s="478" t="s">
        <v>605</v>
      </c>
      <c r="C51" s="614">
        <f>SUM(D38:D42)</f>
        <v>10</v>
      </c>
      <c r="D51" s="612"/>
      <c r="E51" s="613">
        <f>SUM(C51/G43)</f>
        <v>1</v>
      </c>
      <c r="F51" s="613"/>
      <c r="G51" s="480" t="s">
        <v>606</v>
      </c>
    </row>
  </sheetData>
  <mergeCells count="46">
    <mergeCell ref="D10:E10"/>
    <mergeCell ref="B1:G1"/>
    <mergeCell ref="B2:G2"/>
    <mergeCell ref="B3:B4"/>
    <mergeCell ref="C3:C4"/>
    <mergeCell ref="D3:E3"/>
    <mergeCell ref="G3:G4"/>
    <mergeCell ref="B5:G5"/>
    <mergeCell ref="B6:G6"/>
    <mergeCell ref="D7:E7"/>
    <mergeCell ref="D8:E8"/>
    <mergeCell ref="B9:G9"/>
    <mergeCell ref="D31:E31"/>
    <mergeCell ref="B12:G12"/>
    <mergeCell ref="D13:E13"/>
    <mergeCell ref="B14:G14"/>
    <mergeCell ref="B19:G19"/>
    <mergeCell ref="B21:G21"/>
    <mergeCell ref="D24:E24"/>
    <mergeCell ref="D25:E25"/>
    <mergeCell ref="B26:G26"/>
    <mergeCell ref="B28:G28"/>
    <mergeCell ref="D29:E29"/>
    <mergeCell ref="D30:E30"/>
    <mergeCell ref="B44:F44"/>
    <mergeCell ref="B32:G32"/>
    <mergeCell ref="D33:E33"/>
    <mergeCell ref="B34:E35"/>
    <mergeCell ref="B36:G36"/>
    <mergeCell ref="D37:E37"/>
    <mergeCell ref="D38:E38"/>
    <mergeCell ref="D39:E39"/>
    <mergeCell ref="D40:E40"/>
    <mergeCell ref="D41:E41"/>
    <mergeCell ref="D42:E42"/>
    <mergeCell ref="B43:F43"/>
    <mergeCell ref="C50:D50"/>
    <mergeCell ref="E50:F50"/>
    <mergeCell ref="C51:D51"/>
    <mergeCell ref="E51:F51"/>
    <mergeCell ref="B46:G46"/>
    <mergeCell ref="B47:G47"/>
    <mergeCell ref="C48:D48"/>
    <mergeCell ref="E48:F48"/>
    <mergeCell ref="C49:D49"/>
    <mergeCell ref="E49:F49"/>
  </mergeCells>
  <pageMargins left="0.7" right="0.7" top="0.75" bottom="0.75" header="0.3" footer="0.3"/>
  <pageSetup orientation="portrait" r:id="rId1"/>
  <ignoredErrors>
    <ignoredError sqref="G35 C5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N66"/>
  <sheetViews>
    <sheetView workbookViewId="0"/>
  </sheetViews>
  <sheetFormatPr defaultColWidth="8.7109375" defaultRowHeight="15" x14ac:dyDescent="0.25"/>
  <cols>
    <col min="1" max="1" width="3.42578125" style="95" customWidth="1"/>
    <col min="2" max="2" width="5.85546875" style="56" customWidth="1"/>
    <col min="3" max="3" width="16.42578125" style="95" customWidth="1"/>
    <col min="4" max="4" width="20.7109375" style="95" customWidth="1"/>
    <col min="5" max="5" width="8.7109375" style="95" customWidth="1"/>
    <col min="6" max="6" width="16.7109375" style="95" customWidth="1"/>
    <col min="7" max="7" width="10.42578125" style="95" customWidth="1"/>
    <col min="8" max="8" width="19.140625" style="98" customWidth="1"/>
    <col min="9" max="9" width="15.7109375" style="98" customWidth="1"/>
    <col min="10" max="10" width="9.85546875" style="98" customWidth="1"/>
    <col min="11" max="11" width="14.85546875" style="98" customWidth="1"/>
    <col min="12" max="12" width="0.5703125" style="95" customWidth="1"/>
    <col min="13" max="13" width="3.42578125" style="95" customWidth="1"/>
    <col min="14" max="16384" width="8.7109375" style="95"/>
  </cols>
  <sheetData>
    <row r="1" spans="1:13" ht="30" customHeight="1" x14ac:dyDescent="0.25">
      <c r="I1" s="187" t="s">
        <v>499</v>
      </c>
      <c r="J1" s="177" t="s">
        <v>395</v>
      </c>
    </row>
    <row r="2" spans="1:13" x14ac:dyDescent="0.25">
      <c r="A2" s="96"/>
      <c r="B2" s="161"/>
      <c r="C2" s="96"/>
      <c r="D2" s="96"/>
      <c r="E2" s="96"/>
      <c r="F2" s="96"/>
      <c r="G2" s="96"/>
      <c r="H2" s="99"/>
      <c r="I2" s="99"/>
      <c r="J2" s="99"/>
      <c r="K2" s="99"/>
      <c r="L2" s="96"/>
      <c r="M2" s="96"/>
    </row>
    <row r="3" spans="1:13" ht="15.75" x14ac:dyDescent="0.25">
      <c r="A3" s="96"/>
      <c r="C3" s="714" t="s">
        <v>640</v>
      </c>
      <c r="D3" s="715"/>
      <c r="E3" s="715"/>
      <c r="F3" s="715"/>
      <c r="G3" s="715"/>
      <c r="H3" s="715"/>
      <c r="I3" s="715"/>
      <c r="J3" s="715"/>
      <c r="K3" s="716"/>
      <c r="L3" s="92"/>
      <c r="M3" s="93"/>
    </row>
    <row r="4" spans="1:13" ht="6" customHeight="1" x14ac:dyDescent="0.25">
      <c r="A4" s="96"/>
      <c r="C4" s="92"/>
      <c r="D4" s="92"/>
      <c r="E4" s="92"/>
      <c r="F4" s="92"/>
      <c r="G4" s="92"/>
      <c r="H4" s="56"/>
      <c r="I4" s="56"/>
      <c r="J4" s="56"/>
      <c r="K4" s="56"/>
      <c r="L4" s="92"/>
      <c r="M4" s="93"/>
    </row>
    <row r="5" spans="1:13" x14ac:dyDescent="0.25">
      <c r="A5" s="96"/>
      <c r="C5" s="163" t="s">
        <v>44</v>
      </c>
      <c r="D5" s="172" t="str">
        <f>VLOOKUP($I$1,'vlookup- do not delete'!A1:D8,2,FALSE)</f>
        <v>TEST AGENCY</v>
      </c>
      <c r="E5" s="173"/>
      <c r="F5" s="163" t="s">
        <v>311</v>
      </c>
      <c r="G5" s="172" t="str">
        <f>VLOOKUP($I$1,'vlookup- do not delete'!A1:D8,1,FALSE)</f>
        <v>TEST PSH</v>
      </c>
      <c r="H5" s="175"/>
      <c r="I5" s="163" t="s">
        <v>364</v>
      </c>
      <c r="J5" s="727" t="s">
        <v>641</v>
      </c>
      <c r="K5" s="728"/>
      <c r="L5" s="92"/>
      <c r="M5" s="93"/>
    </row>
    <row r="6" spans="1:13" ht="15" hidden="1" customHeight="1" x14ac:dyDescent="0.25">
      <c r="A6" s="96"/>
      <c r="C6" s="163" t="s">
        <v>46</v>
      </c>
      <c r="D6" s="130" t="e">
        <f>VLOOKUP($I$1,#REF!,#REF!,FALSE)</f>
        <v>#REF!</v>
      </c>
      <c r="E6" s="92"/>
      <c r="F6" s="164"/>
      <c r="G6" s="92"/>
      <c r="H6" s="56"/>
      <c r="I6" s="101"/>
      <c r="J6" s="131"/>
      <c r="K6" s="109"/>
      <c r="L6" s="92"/>
      <c r="M6" s="93"/>
    </row>
    <row r="7" spans="1:13" x14ac:dyDescent="0.25">
      <c r="A7" s="96"/>
      <c r="C7" s="163" t="s">
        <v>48</v>
      </c>
      <c r="D7" s="172" t="str">
        <f>VLOOKUP($I$1,'vlookup- do not delete'!A1:D8,3,FALSE)</f>
        <v>TEST PROJECT PSH</v>
      </c>
      <c r="E7" s="173"/>
      <c r="F7" s="163" t="s">
        <v>289</v>
      </c>
      <c r="G7" s="176" t="str">
        <f>VLOOKUP($I$1,'vlookup- do not delete'!A1:D8,4,FALSE)</f>
        <v>PSH</v>
      </c>
      <c r="H7" s="165"/>
      <c r="I7" s="166" t="s">
        <v>365</v>
      </c>
      <c r="J7" s="729" t="str">
        <f>VLOOKUP(I$1,'Scoring Calculator'!$A$5:$BB$10,COLUMN('Scoring Calculator'!D1),FALSE)</f>
        <v>Tenant-Based</v>
      </c>
      <c r="K7" s="730"/>
      <c r="L7" s="92"/>
      <c r="M7" s="93"/>
    </row>
    <row r="8" spans="1:13" ht="5.25" customHeight="1" x14ac:dyDescent="0.25">
      <c r="A8" s="96"/>
      <c r="G8" s="92"/>
      <c r="L8" s="92"/>
      <c r="M8" s="93"/>
    </row>
    <row r="9" spans="1:13" x14ac:dyDescent="0.25">
      <c r="A9" s="96"/>
      <c r="D9" s="167" t="s">
        <v>308</v>
      </c>
      <c r="E9" s="174">
        <f>VLOOKUP($I$1,'Raw Project Data'!A3:CQ10,COLUMN('Raw Project Data'!Y1),FALSE)</f>
        <v>24</v>
      </c>
      <c r="F9" s="168"/>
      <c r="G9" s="169"/>
      <c r="H9" s="170"/>
      <c r="I9" s="166" t="s">
        <v>309</v>
      </c>
      <c r="J9" s="174">
        <f>VLOOKUP($I$1,'Raw Project Data'!A3:CQ10,COLUMN('Raw Project Data'!AG1),FALSE)</f>
        <v>23</v>
      </c>
      <c r="M9" s="96"/>
    </row>
    <row r="10" spans="1:13" x14ac:dyDescent="0.25">
      <c r="A10" s="96"/>
      <c r="C10" s="168"/>
      <c r="D10" s="166" t="s">
        <v>304</v>
      </c>
      <c r="E10" s="174">
        <f>VLOOKUP($I$1,'Raw Project Data'!A3:CQ10,COLUMN('Raw Project Data'!AH1),FALSE)</f>
        <v>20</v>
      </c>
      <c r="F10" s="171"/>
      <c r="G10" s="169"/>
      <c r="H10" s="170"/>
      <c r="I10" s="166" t="s">
        <v>310</v>
      </c>
      <c r="J10" s="366">
        <f>VLOOKUP($I$1,'Raw Project Data'!A3:CQ10,COLUMN('Raw Project Data'!AI1),FALSE)</f>
        <v>19</v>
      </c>
      <c r="L10" s="92"/>
      <c r="M10" s="93"/>
    </row>
    <row r="11" spans="1:13" ht="3.75" customHeight="1" x14ac:dyDescent="0.25">
      <c r="A11" s="96"/>
      <c r="M11" s="96"/>
    </row>
    <row r="12" spans="1:13" ht="14.45" customHeight="1" x14ac:dyDescent="0.25">
      <c r="A12" s="96"/>
      <c r="C12" s="717" t="s">
        <v>0</v>
      </c>
      <c r="D12" s="718"/>
      <c r="E12" s="718"/>
      <c r="F12" s="718"/>
      <c r="G12" s="719"/>
      <c r="H12" s="726" t="s">
        <v>642</v>
      </c>
      <c r="I12" s="726" t="s">
        <v>58</v>
      </c>
      <c r="J12" s="726" t="s">
        <v>59</v>
      </c>
      <c r="K12" s="726" t="s">
        <v>60</v>
      </c>
      <c r="M12" s="96"/>
    </row>
    <row r="13" spans="1:13" x14ac:dyDescent="0.25">
      <c r="A13" s="96"/>
      <c r="C13" s="720"/>
      <c r="D13" s="721"/>
      <c r="E13" s="721"/>
      <c r="F13" s="721"/>
      <c r="G13" s="722"/>
      <c r="H13" s="726"/>
      <c r="I13" s="726"/>
      <c r="J13" s="726"/>
      <c r="K13" s="726"/>
      <c r="M13" s="96"/>
    </row>
    <row r="14" spans="1:13" x14ac:dyDescent="0.25">
      <c r="A14" s="96"/>
      <c r="C14" s="723"/>
      <c r="D14" s="724"/>
      <c r="E14" s="724"/>
      <c r="F14" s="724"/>
      <c r="G14" s="725"/>
      <c r="H14" s="107" t="s">
        <v>6</v>
      </c>
      <c r="I14" s="726"/>
      <c r="J14" s="726"/>
      <c r="K14" s="726"/>
      <c r="M14" s="96"/>
    </row>
    <row r="15" spans="1:13" x14ac:dyDescent="0.25">
      <c r="A15" s="96"/>
      <c r="C15" s="685" t="s">
        <v>444</v>
      </c>
      <c r="D15" s="686"/>
      <c r="E15" s="686"/>
      <c r="F15" s="686"/>
      <c r="G15" s="686"/>
      <c r="H15" s="686"/>
      <c r="I15" s="686"/>
      <c r="J15" s="686"/>
      <c r="K15" s="687"/>
      <c r="M15" s="96"/>
    </row>
    <row r="16" spans="1:13" ht="15" customHeight="1" x14ac:dyDescent="0.25">
      <c r="A16" s="96"/>
      <c r="C16" s="688" t="s">
        <v>11</v>
      </c>
      <c r="D16" s="689"/>
      <c r="E16" s="689"/>
      <c r="F16" s="689"/>
      <c r="G16" s="689"/>
      <c r="H16" s="689"/>
      <c r="I16" s="689"/>
      <c r="J16" s="689"/>
      <c r="K16" s="690"/>
      <c r="M16" s="96"/>
    </row>
    <row r="17" spans="1:13" ht="23.45" customHeight="1" x14ac:dyDescent="0.25">
      <c r="A17" s="96"/>
      <c r="B17" s="56">
        <v>1</v>
      </c>
      <c r="C17" s="691" t="s">
        <v>290</v>
      </c>
      <c r="D17" s="692"/>
      <c r="E17" s="692"/>
      <c r="F17" s="692"/>
      <c r="G17" s="693"/>
      <c r="H17" s="84">
        <v>0.95</v>
      </c>
      <c r="I17" s="85">
        <f>VLOOKUP(I$1,'Scoring Calculator'!$A$3:$BD$11,COLUMN('Scoring Calculator'!H1),FALSE)</f>
        <v>1</v>
      </c>
      <c r="J17" s="86">
        <f>IF(K17="N/A","N/A",10)</f>
        <v>10</v>
      </c>
      <c r="K17" s="87">
        <f>IF(I17="N/A","N/A",VLOOKUP(I$1,'Scoring Calculator'!$A$3:$BD$11,COLUMN('Scoring Calculator'!AG1),FALSE))</f>
        <v>10</v>
      </c>
      <c r="M17" s="96"/>
    </row>
    <row r="18" spans="1:13" ht="35.1" customHeight="1" x14ac:dyDescent="0.25">
      <c r="A18" s="96"/>
      <c r="B18" s="56">
        <v>2</v>
      </c>
      <c r="C18" s="700" t="s">
        <v>291</v>
      </c>
      <c r="D18" s="701"/>
      <c r="E18" s="701"/>
      <c r="F18" s="701"/>
      <c r="G18" s="702"/>
      <c r="H18" s="88">
        <v>0.95</v>
      </c>
      <c r="I18" s="85">
        <f>VLOOKUP(I$1,'Scoring Calculator'!$A$3:$BD$11,COLUMN('Scoring Calculator'!I1),FALSE)</f>
        <v>0.96875</v>
      </c>
      <c r="J18" s="86">
        <f>IF(K18="N/A","N/A",10)</f>
        <v>10</v>
      </c>
      <c r="K18" s="87">
        <f>IF(I18="N/A","N/A",VLOOKUP(I$1,'Scoring Calculator'!$A$3:$BD$11,COLUMN('Scoring Calculator'!AH1),FALSE))</f>
        <v>10</v>
      </c>
      <c r="M18" s="96"/>
    </row>
    <row r="19" spans="1:13" x14ac:dyDescent="0.25">
      <c r="A19" s="96"/>
      <c r="C19" s="694" t="s">
        <v>15</v>
      </c>
      <c r="D19" s="695"/>
      <c r="E19" s="695"/>
      <c r="F19" s="695"/>
      <c r="G19" s="695"/>
      <c r="H19" s="695"/>
      <c r="I19" s="695"/>
      <c r="J19" s="695"/>
      <c r="K19" s="696"/>
      <c r="M19" s="96"/>
    </row>
    <row r="20" spans="1:13" ht="33.75" customHeight="1" x14ac:dyDescent="0.25">
      <c r="A20" s="96"/>
      <c r="B20" s="56">
        <v>3</v>
      </c>
      <c r="C20" s="647" t="s">
        <v>467</v>
      </c>
      <c r="D20" s="648"/>
      <c r="E20" s="648"/>
      <c r="F20" s="648"/>
      <c r="G20" s="649"/>
      <c r="H20" s="89">
        <v>1</v>
      </c>
      <c r="I20" s="85">
        <f>VLOOKUP(I$1,'Scoring Calculator'!$A$3:$BD$11,COLUMN('Scoring Calculator'!J1),FALSE)</f>
        <v>0.76190476190476186</v>
      </c>
      <c r="J20" s="86">
        <f>IF(K20="N/A","N/A",10)</f>
        <v>10</v>
      </c>
      <c r="K20" s="87">
        <f>IF(I20="N/A","N/A",VLOOKUP(I$1,'Scoring Calculator'!$A$3:$BD$11,COLUMN('Scoring Calculator'!AI1),FALSE))</f>
        <v>0</v>
      </c>
      <c r="M20" s="96"/>
    </row>
    <row r="21" spans="1:13" ht="33" customHeight="1" x14ac:dyDescent="0.25">
      <c r="A21" s="96"/>
      <c r="B21" s="56">
        <v>4</v>
      </c>
      <c r="C21" s="697" t="s">
        <v>345</v>
      </c>
      <c r="D21" s="698"/>
      <c r="E21" s="698"/>
      <c r="F21" s="698"/>
      <c r="G21" s="699"/>
      <c r="H21" s="103">
        <v>0.95</v>
      </c>
      <c r="I21" s="104">
        <f>VLOOKUP(I$1,'Scoring Calculator'!$A$3:$BD$11,COLUMN('Scoring Calculator'!K1),FALSE)</f>
        <v>0.7</v>
      </c>
      <c r="J21" s="105">
        <f>IF(K21="N/A","N/A",5)</f>
        <v>5</v>
      </c>
      <c r="K21" s="106">
        <f>IF(I21="N/A","N/A",VLOOKUP(I$1,'Scoring Calculator'!$A$3:$BD$11,COLUMN('Scoring Calculator'!AJ1),FALSE))</f>
        <v>0</v>
      </c>
      <c r="M21" s="96"/>
    </row>
    <row r="22" spans="1:13" x14ac:dyDescent="0.25">
      <c r="A22" s="96"/>
      <c r="C22" s="703" t="s">
        <v>317</v>
      </c>
      <c r="D22" s="704"/>
      <c r="E22" s="704"/>
      <c r="F22" s="704"/>
      <c r="G22" s="704"/>
      <c r="H22" s="704"/>
      <c r="I22" s="704"/>
      <c r="J22" s="704"/>
      <c r="K22" s="705"/>
      <c r="M22" s="96"/>
    </row>
    <row r="23" spans="1:13" ht="51.75" customHeight="1" x14ac:dyDescent="0.25">
      <c r="A23" s="96"/>
      <c r="B23" s="56">
        <v>5</v>
      </c>
      <c r="C23" s="647" t="s">
        <v>318</v>
      </c>
      <c r="D23" s="648"/>
      <c r="E23" s="648"/>
      <c r="F23" s="648"/>
      <c r="G23" s="649"/>
      <c r="H23" s="132" t="s">
        <v>362</v>
      </c>
      <c r="I23" s="133">
        <f>VLOOKUP(I$1,'Scoring Calculator'!$A$3:$BD$11,COLUMN('Scoring Calculator'!L1),FALSE)</f>
        <v>5.14</v>
      </c>
      <c r="J23" s="154">
        <f>IF(K23="N/A","N/A",5)</f>
        <v>5</v>
      </c>
      <c r="K23" s="154">
        <f>IF(I23="N/A","N/A",VLOOKUP(I$1,'Scoring Calculator'!$A$3:$BD$11,COLUMN('Scoring Calculator'!AK1),FALSE))</f>
        <v>5</v>
      </c>
      <c r="M23" s="96"/>
    </row>
    <row r="24" spans="1:13" x14ac:dyDescent="0.25">
      <c r="A24" s="96"/>
      <c r="C24" s="703" t="s">
        <v>18</v>
      </c>
      <c r="D24" s="704"/>
      <c r="E24" s="704"/>
      <c r="F24" s="704"/>
      <c r="G24" s="704"/>
      <c r="H24" s="704"/>
      <c r="I24" s="704"/>
      <c r="J24" s="704"/>
      <c r="K24" s="705"/>
      <c r="M24" s="96"/>
    </row>
    <row r="25" spans="1:13" ht="37.5" customHeight="1" x14ac:dyDescent="0.25">
      <c r="A25" s="96"/>
      <c r="B25" s="56">
        <v>6</v>
      </c>
      <c r="C25" s="706" t="s">
        <v>65</v>
      </c>
      <c r="D25" s="707"/>
      <c r="E25" s="707"/>
      <c r="F25" s="707"/>
      <c r="G25" s="708"/>
      <c r="H25" s="207">
        <v>0.15</v>
      </c>
      <c r="I25" s="209">
        <f>VLOOKUP(I$1,'Scoring Calculator'!$A$3:$BD$11,COLUMN('Scoring Calculator'!M1),FALSE)</f>
        <v>0.33333333333333331</v>
      </c>
      <c r="J25" s="211">
        <f>IF(K25="N/A","N/A",10)</f>
        <v>10</v>
      </c>
      <c r="K25" s="123">
        <f>IF(I25="N/A","N/A",VLOOKUP(I$1,'Scoring Calculator'!$A$3:$BD$11,COLUMN('Scoring Calculator'!AL1),FALSE))</f>
        <v>10</v>
      </c>
      <c r="M25" s="96"/>
    </row>
    <row r="26" spans="1:13" ht="37.5" customHeight="1" x14ac:dyDescent="0.25">
      <c r="A26" s="96"/>
      <c r="B26" s="56">
        <v>7</v>
      </c>
      <c r="C26" s="647" t="s">
        <v>374</v>
      </c>
      <c r="D26" s="648"/>
      <c r="E26" s="648"/>
      <c r="F26" s="648"/>
      <c r="G26" s="649"/>
      <c r="H26" s="89">
        <v>0.7</v>
      </c>
      <c r="I26" s="210">
        <f>VLOOKUP(I$1,'Scoring Calculator'!$A$3:$BD$11,COLUMN('Scoring Calculator'!N1),FALSE)</f>
        <v>0.33333333333333331</v>
      </c>
      <c r="J26" s="212">
        <f>IF(K26="N/A","N/A",5)</f>
        <v>5</v>
      </c>
      <c r="K26" s="87">
        <f>IF(I26="N/A","N/A",VLOOKUP(I$1,'Scoring Calculator'!$A$3:$BD$11,COLUMN('Scoring Calculator'!AM1),FALSE))</f>
        <v>0</v>
      </c>
      <c r="M26" s="96"/>
    </row>
    <row r="27" spans="1:13" ht="37.5" customHeight="1" x14ac:dyDescent="0.25">
      <c r="A27" s="96"/>
      <c r="B27" s="56">
        <v>8</v>
      </c>
      <c r="C27" s="711" t="s">
        <v>572</v>
      </c>
      <c r="D27" s="712"/>
      <c r="E27" s="712"/>
      <c r="F27" s="712"/>
      <c r="G27" s="713"/>
      <c r="H27" s="208">
        <v>0.15</v>
      </c>
      <c r="I27" s="210">
        <f>VLOOKUP(I$1,'Scoring Calculator'!$A$3:$BD$11,COLUMN('Scoring Calculator'!O1),FALSE)</f>
        <v>0.77777777777777779</v>
      </c>
      <c r="J27" s="212">
        <f>IF(K27="N/A","N/A",5)</f>
        <v>5</v>
      </c>
      <c r="K27" s="195">
        <f>IF(I27="N/A","N/A",VLOOKUP(I$1,'Scoring Calculator'!$A$3:$BD$11,COLUMN('Scoring Calculator'!AN1),FALSE))</f>
        <v>5</v>
      </c>
      <c r="M27" s="96"/>
    </row>
    <row r="28" spans="1:13" ht="37.5" customHeight="1" x14ac:dyDescent="0.25">
      <c r="A28" s="96"/>
      <c r="B28" s="56">
        <v>9</v>
      </c>
      <c r="C28" s="647" t="s">
        <v>375</v>
      </c>
      <c r="D28" s="648"/>
      <c r="E28" s="648"/>
      <c r="F28" s="648"/>
      <c r="G28" s="649"/>
      <c r="H28" s="89">
        <v>0.65</v>
      </c>
      <c r="I28" s="210">
        <f>VLOOKUP(I$1,'Scoring Calculator'!$A$3:$BD$11,COLUMN('Scoring Calculator'!P1),FALSE)</f>
        <v>0.83333333333333337</v>
      </c>
      <c r="J28" s="212">
        <f>IF(K28="N/A","N/A",3)</f>
        <v>3</v>
      </c>
      <c r="K28" s="195">
        <f>IF(I28="N/A","N/A",VLOOKUP(I$1,'Scoring Calculator'!$A$3:$BD$11,COLUMN('Scoring Calculator'!AO1),FALSE))</f>
        <v>3</v>
      </c>
      <c r="M28" s="96"/>
    </row>
    <row r="29" spans="1:13" ht="14.1" customHeight="1" x14ac:dyDescent="0.25">
      <c r="A29" s="96"/>
      <c r="C29" s="709" t="s">
        <v>25</v>
      </c>
      <c r="D29" s="695"/>
      <c r="E29" s="695"/>
      <c r="F29" s="695"/>
      <c r="G29" s="695"/>
      <c r="H29" s="695"/>
      <c r="I29" s="695"/>
      <c r="J29" s="695"/>
      <c r="K29" s="710"/>
      <c r="M29" s="96"/>
    </row>
    <row r="30" spans="1:13" ht="36.75" customHeight="1" x14ac:dyDescent="0.25">
      <c r="A30" s="96"/>
      <c r="B30" s="56">
        <v>11</v>
      </c>
      <c r="C30" s="647" t="s">
        <v>392</v>
      </c>
      <c r="D30" s="648"/>
      <c r="E30" s="648"/>
      <c r="F30" s="648"/>
      <c r="G30" s="649"/>
      <c r="H30" s="90">
        <v>0.85</v>
      </c>
      <c r="I30" s="85">
        <f>VLOOKUP(I$1,'Scoring Calculator'!$A$3:$BD$11,COLUMN('Scoring Calculator'!R1),FALSE)</f>
        <v>0.91666666666666663</v>
      </c>
      <c r="J30" s="86">
        <f>IF(K30="N/A","N/A",5)</f>
        <v>5</v>
      </c>
      <c r="K30" s="87">
        <f>IF(I30="N/A","N/A",VLOOKUP(I$1,'Scoring Calculator'!$A$3:$BD$11,COLUMN('Scoring Calculator'!AQ1),FALSE))</f>
        <v>5</v>
      </c>
      <c r="M30" s="96"/>
    </row>
    <row r="31" spans="1:13" ht="33.75" customHeight="1" x14ac:dyDescent="0.25">
      <c r="A31" s="96"/>
      <c r="B31" s="56">
        <v>13</v>
      </c>
      <c r="C31" s="647" t="s">
        <v>381</v>
      </c>
      <c r="D31" s="648"/>
      <c r="E31" s="648"/>
      <c r="F31" s="648"/>
      <c r="G31" s="649"/>
      <c r="H31" s="84" t="s">
        <v>316</v>
      </c>
      <c r="I31" s="85">
        <f>VLOOKUP(I$1,'Scoring Calculator'!$A$3:$BD$11,COLUMN('Scoring Calculator'!T1),FALSE)</f>
        <v>0.125</v>
      </c>
      <c r="J31" s="86">
        <f>IF(K31="N/A","N/A",5)</f>
        <v>5</v>
      </c>
      <c r="K31" s="87">
        <f>IF(I31="N/A","N/A",VLOOKUP(I$1,'Scoring Calculator'!$A$3:$BD$11,COLUMN('Scoring Calculator'!AS1),FALSE))</f>
        <v>0</v>
      </c>
      <c r="M31" s="96"/>
    </row>
    <row r="32" spans="1:13" ht="33.75" customHeight="1" x14ac:dyDescent="0.25">
      <c r="A32" s="96"/>
      <c r="B32" s="56">
        <v>14</v>
      </c>
      <c r="C32" s="647" t="s">
        <v>577</v>
      </c>
      <c r="D32" s="648"/>
      <c r="E32" s="648"/>
      <c r="F32" s="648"/>
      <c r="G32" s="649"/>
      <c r="H32" s="84" t="s">
        <v>578</v>
      </c>
      <c r="I32" s="85">
        <f>VLOOKUP(I$1,'Scoring Calculator'!$A$3:$BD$11,COLUMN('Scoring Calculator'!U1),FALSE)</f>
        <v>0.16666666666666666</v>
      </c>
      <c r="J32" s="86">
        <f>IF(K32="N/A","N/A",10)</f>
        <v>10</v>
      </c>
      <c r="K32" s="87">
        <f>IF(I32="N/A","N/A",VLOOKUP(I$1,'Scoring Calculator'!$A$3:$BD$11,COLUMN('Scoring Calculator'!AT1),FALSE))</f>
        <v>5</v>
      </c>
      <c r="M32" s="96"/>
    </row>
    <row r="33" spans="1:13" ht="18.95" customHeight="1" x14ac:dyDescent="0.25">
      <c r="A33" s="96"/>
      <c r="C33" s="650" t="s">
        <v>68</v>
      </c>
      <c r="D33" s="651"/>
      <c r="E33" s="651"/>
      <c r="F33" s="651"/>
      <c r="G33" s="651"/>
      <c r="H33" s="652"/>
      <c r="I33" s="653"/>
      <c r="J33" s="442">
        <f>SUM(J17:J32)</f>
        <v>83</v>
      </c>
      <c r="K33" s="443">
        <f>SUM(K17:K31)</f>
        <v>48</v>
      </c>
      <c r="M33" s="96"/>
    </row>
    <row r="34" spans="1:13" ht="18.95" customHeight="1" x14ac:dyDescent="0.25">
      <c r="A34" s="96"/>
      <c r="C34" s="644" t="s">
        <v>370</v>
      </c>
      <c r="D34" s="645"/>
      <c r="E34" s="645"/>
      <c r="F34" s="645"/>
      <c r="G34" s="645"/>
      <c r="H34" s="645"/>
      <c r="I34" s="645"/>
      <c r="J34" s="645"/>
      <c r="K34" s="646"/>
      <c r="M34" s="96"/>
    </row>
    <row r="35" spans="1:13" ht="41.1" customHeight="1" x14ac:dyDescent="0.25">
      <c r="A35" s="96"/>
      <c r="B35" s="56">
        <v>15</v>
      </c>
      <c r="C35" s="647" t="s">
        <v>380</v>
      </c>
      <c r="D35" s="648"/>
      <c r="E35" s="648"/>
      <c r="F35" s="648"/>
      <c r="G35" s="649"/>
      <c r="H35" s="90">
        <v>0.75</v>
      </c>
      <c r="I35" s="210">
        <f>VLOOKUP(I$1,'Scoring Calculator'!$A$3:$BD$11,COLUMN('Scoring Calculator'!V1),FALSE)</f>
        <v>0.14285714285714285</v>
      </c>
      <c r="J35" s="212">
        <f>IF(K35="N/A","N/A",2)</f>
        <v>2</v>
      </c>
      <c r="K35" s="195">
        <f>IF(I35="N/A","N/A",VLOOKUP(I$1,'Scoring Calculator'!$A$3:$BD$11,COLUMN('Scoring Calculator'!AU1),FALSE))</f>
        <v>0</v>
      </c>
      <c r="M35" s="96"/>
    </row>
    <row r="36" spans="1:13" ht="18.95" customHeight="1" x14ac:dyDescent="0.25">
      <c r="A36" s="96"/>
      <c r="C36" s="650" t="s">
        <v>403</v>
      </c>
      <c r="D36" s="651"/>
      <c r="E36" s="651"/>
      <c r="F36" s="651"/>
      <c r="G36" s="651"/>
      <c r="H36" s="652"/>
      <c r="I36" s="653"/>
      <c r="J36" s="442">
        <f>J35</f>
        <v>2</v>
      </c>
      <c r="K36" s="443">
        <f>K35</f>
        <v>0</v>
      </c>
      <c r="M36" s="96"/>
    </row>
    <row r="37" spans="1:13" x14ac:dyDescent="0.25">
      <c r="A37" s="96"/>
      <c r="C37" s="644" t="s">
        <v>27</v>
      </c>
      <c r="D37" s="645"/>
      <c r="E37" s="645"/>
      <c r="F37" s="645"/>
      <c r="G37" s="645"/>
      <c r="H37" s="645"/>
      <c r="I37" s="645"/>
      <c r="J37" s="645"/>
      <c r="K37" s="646"/>
      <c r="M37" s="96"/>
    </row>
    <row r="38" spans="1:13" ht="26.1" customHeight="1" x14ac:dyDescent="0.25">
      <c r="A38" s="96"/>
      <c r="B38" s="56">
        <v>16</v>
      </c>
      <c r="C38" s="647" t="s">
        <v>28</v>
      </c>
      <c r="D38" s="648"/>
      <c r="E38" s="648"/>
      <c r="F38" s="648"/>
      <c r="G38" s="649"/>
      <c r="H38" s="84" t="s">
        <v>30</v>
      </c>
      <c r="I38" s="85">
        <f>VLOOKUP(I$1,'Scoring Calculator'!$A$3:$BD$11,COLUMN('Scoring Calculator'!W1),FALSE)</f>
        <v>0.25</v>
      </c>
      <c r="J38" s="86">
        <f>IF(K38="N/A","N/A",5)</f>
        <v>5</v>
      </c>
      <c r="K38" s="87">
        <f>IF(I38="N/A","N/A",VLOOKUP(I$1,'Scoring Calculator'!$A$3:$BD$11,COLUMN('Scoring Calculator'!AV1),FALSE))</f>
        <v>5</v>
      </c>
      <c r="M38" s="96"/>
    </row>
    <row r="39" spans="1:13" ht="30" x14ac:dyDescent="0.25">
      <c r="A39" s="96"/>
      <c r="B39" s="56">
        <v>17</v>
      </c>
      <c r="C39" s="647" t="s">
        <v>123</v>
      </c>
      <c r="D39" s="648"/>
      <c r="E39" s="648"/>
      <c r="F39" s="648"/>
      <c r="G39" s="649"/>
      <c r="H39" s="91" t="s">
        <v>124</v>
      </c>
      <c r="I39" s="85" t="str">
        <f>VLOOKUP(I$1,'Scoring Calculator'!$A$3:$BD$11,COLUMN('Scoring Calculator'!X1),FALSE)</f>
        <v>Yes</v>
      </c>
      <c r="J39" s="86">
        <f>IF(K39="N/A","N/A",5)</f>
        <v>5</v>
      </c>
      <c r="K39" s="87">
        <f>IF(I39="N/A","N/A",VLOOKUP(I$1,'Scoring Calculator'!$A$3:$BD$11,COLUMN('Scoring Calculator'!AW1),FALSE))</f>
        <v>5</v>
      </c>
      <c r="M39" s="96"/>
    </row>
    <row r="40" spans="1:13" ht="33.75" customHeight="1" x14ac:dyDescent="0.25">
      <c r="A40" s="96"/>
      <c r="B40" s="56">
        <v>18</v>
      </c>
      <c r="C40" s="647" t="s">
        <v>468</v>
      </c>
      <c r="D40" s="648"/>
      <c r="E40" s="648"/>
      <c r="F40" s="648"/>
      <c r="G40" s="649"/>
      <c r="H40" s="91" t="s">
        <v>477</v>
      </c>
      <c r="I40" s="85" t="str">
        <f>VLOOKUP(I$1,'Scoring Calculator'!$A$3:$BD$11,COLUMN('Scoring Calculator'!Y1),FALSE)</f>
        <v>Yes</v>
      </c>
      <c r="J40" s="86">
        <f>IF(K40="N/A","N/A",2)</f>
        <v>2</v>
      </c>
      <c r="K40" s="133">
        <f>IF(I40="N/A","N/A",VLOOKUP(I$1,'Scoring Calculator'!$A$3:$BD$11,COLUMN('Scoring Calculator'!AX1),FALSE))</f>
        <v>2</v>
      </c>
      <c r="M40" s="96"/>
    </row>
    <row r="41" spans="1:13" ht="18.95" customHeight="1" x14ac:dyDescent="0.25">
      <c r="A41" s="96"/>
      <c r="C41" s="650" t="s">
        <v>71</v>
      </c>
      <c r="D41" s="651"/>
      <c r="E41" s="651"/>
      <c r="F41" s="651"/>
      <c r="G41" s="657"/>
      <c r="H41" s="658"/>
      <c r="I41" s="659"/>
      <c r="J41" s="444">
        <f>SUM(J38:J40)</f>
        <v>12</v>
      </c>
      <c r="K41" s="445">
        <f>SUM(K38:K40)</f>
        <v>12</v>
      </c>
      <c r="M41" s="96"/>
    </row>
    <row r="42" spans="1:13" x14ac:dyDescent="0.25">
      <c r="A42" s="96"/>
      <c r="C42" s="675" t="s">
        <v>580</v>
      </c>
      <c r="D42" s="676"/>
      <c r="E42" s="676"/>
      <c r="F42" s="676"/>
      <c r="G42" s="676"/>
      <c r="H42" s="677"/>
      <c r="I42" s="677"/>
      <c r="J42" s="676"/>
      <c r="K42" s="678"/>
      <c r="M42" s="96"/>
    </row>
    <row r="43" spans="1:13" ht="33" customHeight="1" x14ac:dyDescent="0.25">
      <c r="A43" s="96"/>
      <c r="B43" s="56">
        <v>19</v>
      </c>
      <c r="C43" s="660" t="s">
        <v>621</v>
      </c>
      <c r="D43" s="661"/>
      <c r="E43" s="661"/>
      <c r="F43" s="661"/>
      <c r="G43" s="679"/>
      <c r="H43" s="162" t="s">
        <v>583</v>
      </c>
      <c r="I43" s="114" t="str">
        <f>VLOOKUP(I$1,'Scoring Calculator'!$A$3:$BD$11,COLUMN('Scoring Calculator'!Z1),FALSE)</f>
        <v>Yes</v>
      </c>
      <c r="J43" s="115">
        <f>IF(K43="N/A","N/A",3)</f>
        <v>3</v>
      </c>
      <c r="K43" s="420">
        <f>IF(I44="N/A","N/A",VLOOKUP(I$1,'Scoring Calculator'!$A$3:$BD$11,COLUMN('Scoring Calculator'!AY1),FALSE))</f>
        <v>3</v>
      </c>
      <c r="M43" s="96"/>
    </row>
    <row r="44" spans="1:13" x14ac:dyDescent="0.25">
      <c r="A44" s="96"/>
      <c r="C44" s="680" t="s">
        <v>643</v>
      </c>
      <c r="D44" s="681"/>
      <c r="E44" s="681"/>
      <c r="F44" s="681"/>
      <c r="G44" s="681"/>
      <c r="H44" s="682"/>
      <c r="I44" s="683"/>
      <c r="J44" s="120">
        <f>IF(J43="N/A",0,J43)</f>
        <v>3</v>
      </c>
      <c r="K44" s="120">
        <f>IF(K43="N/A",0,K43)</f>
        <v>3</v>
      </c>
      <c r="M44" s="96"/>
    </row>
    <row r="45" spans="1:13" x14ac:dyDescent="0.25">
      <c r="A45" s="96"/>
      <c r="C45" s="666" t="s">
        <v>99</v>
      </c>
      <c r="D45" s="667"/>
      <c r="E45" s="667"/>
      <c r="F45" s="667"/>
      <c r="G45" s="667"/>
      <c r="H45" s="667"/>
      <c r="I45" s="668"/>
      <c r="J45" s="155">
        <f>_xlfn.AGGREGATE(9,2,(J33,J36,J41,J44))</f>
        <v>100</v>
      </c>
      <c r="K45" s="155">
        <f>_xlfn.AGGREGATE(9,2,(K33,K36,K41,K44))</f>
        <v>63</v>
      </c>
      <c r="M45" s="96"/>
    </row>
    <row r="46" spans="1:13" x14ac:dyDescent="0.25">
      <c r="A46" s="96"/>
      <c r="C46" s="684" t="s">
        <v>360</v>
      </c>
      <c r="D46" s="677"/>
      <c r="E46" s="677"/>
      <c r="F46" s="677"/>
      <c r="G46" s="677"/>
      <c r="H46" s="677"/>
      <c r="I46" s="677"/>
      <c r="J46" s="676"/>
      <c r="K46" s="678"/>
      <c r="M46" s="96"/>
    </row>
    <row r="47" spans="1:13" ht="33" customHeight="1" x14ac:dyDescent="0.25">
      <c r="A47" s="96"/>
      <c r="B47" s="56">
        <v>20</v>
      </c>
      <c r="C47" s="660" t="s">
        <v>470</v>
      </c>
      <c r="D47" s="661"/>
      <c r="E47" s="661"/>
      <c r="F47" s="661"/>
      <c r="G47" s="662"/>
      <c r="H47" s="731" t="s">
        <v>394</v>
      </c>
      <c r="I47" s="206">
        <f>VLOOKUP(I$1,'Scoring Calculator'!$A$3:$BD$11,COLUMN('Scoring Calculator'!AA1),FALSE)</f>
        <v>0.66666666666666663</v>
      </c>
      <c r="J47" s="115">
        <f>IF(K47="N/A","N/A",2)</f>
        <v>2</v>
      </c>
      <c r="K47" s="365">
        <f>IF(I47="N/A","N/A",VLOOKUP(I$1,'Scoring Calculator'!$A$3:$BD$11,COLUMN('Scoring Calculator'!AZ1),FALSE))</f>
        <v>1.3333333333333333</v>
      </c>
      <c r="M47" s="96"/>
    </row>
    <row r="48" spans="1:13" ht="33" customHeight="1" x14ac:dyDescent="0.25">
      <c r="A48" s="96"/>
      <c r="B48" s="56">
        <v>21</v>
      </c>
      <c r="C48" s="660" t="s">
        <v>393</v>
      </c>
      <c r="D48" s="661"/>
      <c r="E48" s="661"/>
      <c r="F48" s="661"/>
      <c r="G48" s="662"/>
      <c r="H48" s="732"/>
      <c r="I48" s="206">
        <f>VLOOKUP(I$1,'Scoring Calculator'!$A$3:$BD$11,COLUMN('Scoring Calculator'!AB1),FALSE)</f>
        <v>4.7619047619047616E-2</v>
      </c>
      <c r="J48" s="115">
        <f t="shared" ref="J48:J51" si="0">IF(K48="N/A","N/A",2)</f>
        <v>2</v>
      </c>
      <c r="K48" s="365">
        <f>IF(I48="N/A","N/A",VLOOKUP(I$1,'Scoring Calculator'!$A$3:$BD$11,COLUMN('Scoring Calculator'!BA1),FALSE))</f>
        <v>9.5238095238095233E-2</v>
      </c>
      <c r="M48" s="96"/>
    </row>
    <row r="49" spans="1:14" ht="40.5" customHeight="1" x14ac:dyDescent="0.25">
      <c r="A49" s="96"/>
      <c r="B49" s="56">
        <v>22</v>
      </c>
      <c r="C49" s="660" t="s">
        <v>351</v>
      </c>
      <c r="D49" s="661"/>
      <c r="E49" s="661"/>
      <c r="F49" s="661"/>
      <c r="G49" s="662"/>
      <c r="H49" s="732"/>
      <c r="I49" s="206">
        <f>VLOOKUP(I$1,'Scoring Calculator'!$A$3:$BD$11,COLUMN('Scoring Calculator'!AC1),FALSE)</f>
        <v>4.7619047619047616E-2</v>
      </c>
      <c r="J49" s="115">
        <f t="shared" si="0"/>
        <v>2</v>
      </c>
      <c r="K49" s="365">
        <f>IF(I49="N/A","N/A",VLOOKUP(I$1,'Scoring Calculator'!$A$3:$BD$11,COLUMN('Scoring Calculator'!BB1),FALSE))</f>
        <v>9.5238095238095233E-2</v>
      </c>
      <c r="M49" s="96"/>
    </row>
    <row r="50" spans="1:14" ht="40.5" customHeight="1" x14ac:dyDescent="0.25">
      <c r="A50" s="96"/>
      <c r="B50" s="56">
        <v>23</v>
      </c>
      <c r="C50" s="660" t="s">
        <v>472</v>
      </c>
      <c r="D50" s="661"/>
      <c r="E50" s="661"/>
      <c r="F50" s="661"/>
      <c r="G50" s="662"/>
      <c r="H50" s="732"/>
      <c r="I50" s="206">
        <f>VLOOKUP(I$1,'Scoring Calculator'!$A$3:$BD$11,COLUMN('Scoring Calculator'!AD1),FALSE)</f>
        <v>4.7619047619047616E-2</v>
      </c>
      <c r="J50" s="115">
        <f t="shared" si="0"/>
        <v>2</v>
      </c>
      <c r="K50" s="365">
        <f>IF(I50="N/A","N/A",VLOOKUP(I$1,'Scoring Calculator'!$A$3:$BD$11,COLUMN('Scoring Calculator'!BC1),FALSE))</f>
        <v>9.5238095238095233E-2</v>
      </c>
      <c r="M50" s="96"/>
    </row>
    <row r="51" spans="1:14" ht="40.5" customHeight="1" x14ac:dyDescent="0.25">
      <c r="A51" s="96"/>
      <c r="B51" s="56">
        <v>24</v>
      </c>
      <c r="C51" s="734" t="s">
        <v>473</v>
      </c>
      <c r="D51" s="735"/>
      <c r="E51" s="735"/>
      <c r="F51" s="735"/>
      <c r="G51" s="736"/>
      <c r="H51" s="733"/>
      <c r="I51" s="206">
        <f>VLOOKUP(I$1,'Scoring Calculator'!$A$3:$BD$11,COLUMN('Scoring Calculator'!AE1),FALSE)</f>
        <v>0.23809523809523808</v>
      </c>
      <c r="J51" s="115">
        <f t="shared" si="0"/>
        <v>2</v>
      </c>
      <c r="K51" s="365">
        <f>IF(I51="N/A","N/A",VLOOKUP(I$1,'Scoring Calculator'!$A$3:$BD$11,COLUMN('Scoring Calculator'!BD1),FALSE))</f>
        <v>0.47619047619047616</v>
      </c>
      <c r="M51" s="96"/>
    </row>
    <row r="52" spans="1:14" x14ac:dyDescent="0.25">
      <c r="A52" s="96"/>
      <c r="C52" s="669" t="s">
        <v>363</v>
      </c>
      <c r="D52" s="670"/>
      <c r="E52" s="670"/>
      <c r="F52" s="670"/>
      <c r="G52" s="671"/>
      <c r="H52" s="740"/>
      <c r="I52" s="741"/>
      <c r="J52" s="153">
        <f>SUM(J47:J51)</f>
        <v>10</v>
      </c>
      <c r="K52" s="201">
        <f>SUM(K47:K51)</f>
        <v>2.0952380952380953</v>
      </c>
      <c r="M52" s="96"/>
    </row>
    <row r="53" spans="1:14" ht="23.25" customHeight="1" x14ac:dyDescent="0.25">
      <c r="A53" s="96"/>
      <c r="C53" s="663" t="s">
        <v>72</v>
      </c>
      <c r="D53" s="664"/>
      <c r="E53" s="664"/>
      <c r="F53" s="664"/>
      <c r="G53" s="664"/>
      <c r="H53" s="664"/>
      <c r="I53" s="664"/>
      <c r="J53" s="664"/>
      <c r="K53" s="665"/>
      <c r="M53" s="96"/>
    </row>
    <row r="54" spans="1:14" x14ac:dyDescent="0.25">
      <c r="A54" s="96"/>
      <c r="C54" s="737" t="s">
        <v>447</v>
      </c>
      <c r="D54" s="738"/>
      <c r="E54" s="738"/>
      <c r="F54" s="738"/>
      <c r="G54" s="738"/>
      <c r="H54" s="738"/>
      <c r="I54" s="739"/>
      <c r="J54" s="196">
        <f>J45</f>
        <v>100</v>
      </c>
      <c r="K54" s="199">
        <f>K45</f>
        <v>63</v>
      </c>
      <c r="M54" s="96"/>
    </row>
    <row r="55" spans="1:14" x14ac:dyDescent="0.25">
      <c r="A55" s="96"/>
      <c r="C55" s="737" t="s">
        <v>404</v>
      </c>
      <c r="D55" s="738"/>
      <c r="E55" s="738"/>
      <c r="F55" s="738"/>
      <c r="G55" s="738"/>
      <c r="H55" s="738"/>
      <c r="I55" s="739"/>
      <c r="J55" s="197">
        <f>J52</f>
        <v>10</v>
      </c>
      <c r="K55" s="200">
        <f>K52</f>
        <v>2.0952380952380953</v>
      </c>
      <c r="M55" s="96"/>
    </row>
    <row r="56" spans="1:14" ht="45.75" customHeight="1" x14ac:dyDescent="0.25">
      <c r="A56" s="96"/>
      <c r="C56" s="654" t="s">
        <v>549</v>
      </c>
      <c r="D56" s="655"/>
      <c r="E56" s="655"/>
      <c r="F56" s="655"/>
      <c r="G56" s="656"/>
      <c r="H56" s="672" t="s">
        <v>446</v>
      </c>
      <c r="I56" s="673"/>
      <c r="J56" s="674"/>
      <c r="K56" s="198">
        <f>(((K54/J54)*100)+K55)</f>
        <v>65.095238095238102</v>
      </c>
      <c r="M56" s="96"/>
      <c r="N56" s="97"/>
    </row>
    <row r="57" spans="1:14" x14ac:dyDescent="0.25">
      <c r="A57" s="96"/>
      <c r="C57" s="94"/>
      <c r="D57" s="94"/>
      <c r="E57" s="94"/>
      <c r="F57" s="94"/>
      <c r="G57" s="94"/>
      <c r="H57" s="100"/>
      <c r="I57" s="100"/>
      <c r="J57" s="100"/>
      <c r="K57" s="100"/>
      <c r="M57" s="96"/>
    </row>
    <row r="58" spans="1:14" x14ac:dyDescent="0.25">
      <c r="A58" s="96"/>
      <c r="B58" s="161"/>
      <c r="C58" s="96"/>
      <c r="D58" s="96"/>
      <c r="E58" s="96"/>
      <c r="F58" s="96"/>
      <c r="G58" s="96"/>
      <c r="H58" s="99"/>
      <c r="I58" s="99"/>
      <c r="J58" s="99"/>
      <c r="K58" s="99"/>
      <c r="L58" s="96"/>
      <c r="M58" s="96"/>
    </row>
    <row r="60" spans="1:14" ht="23.25" customHeight="1" x14ac:dyDescent="0.25"/>
    <row r="61" spans="1:14" ht="23.25" customHeight="1" x14ac:dyDescent="0.25"/>
    <row r="62" spans="1:14" ht="23.25" customHeight="1" x14ac:dyDescent="0.25"/>
    <row r="64" spans="1:14" ht="15.75" customHeight="1" x14ac:dyDescent="0.25"/>
    <row r="65" ht="15.75" customHeight="1" x14ac:dyDescent="0.25"/>
    <row r="66" ht="15.75" customHeight="1" x14ac:dyDescent="0.25"/>
  </sheetData>
  <mergeCells count="57">
    <mergeCell ref="C40:G40"/>
    <mergeCell ref="H47:H51"/>
    <mergeCell ref="C51:G51"/>
    <mergeCell ref="C55:I55"/>
    <mergeCell ref="H52:I52"/>
    <mergeCell ref="C54:I54"/>
    <mergeCell ref="C50:G50"/>
    <mergeCell ref="C3:K3"/>
    <mergeCell ref="C12:G14"/>
    <mergeCell ref="H12:H13"/>
    <mergeCell ref="I12:I14"/>
    <mergeCell ref="J12:J14"/>
    <mergeCell ref="K12:K14"/>
    <mergeCell ref="J5:K5"/>
    <mergeCell ref="J7:K7"/>
    <mergeCell ref="C30:G30"/>
    <mergeCell ref="C15:K15"/>
    <mergeCell ref="C16:K16"/>
    <mergeCell ref="C17:G17"/>
    <mergeCell ref="C19:K19"/>
    <mergeCell ref="C20:G20"/>
    <mergeCell ref="C21:G21"/>
    <mergeCell ref="C18:G18"/>
    <mergeCell ref="C24:K24"/>
    <mergeCell ref="C25:G25"/>
    <mergeCell ref="C26:G26"/>
    <mergeCell ref="C28:G28"/>
    <mergeCell ref="C29:K29"/>
    <mergeCell ref="C22:K22"/>
    <mergeCell ref="C23:G23"/>
    <mergeCell ref="C27:G27"/>
    <mergeCell ref="C56:G56"/>
    <mergeCell ref="C39:G39"/>
    <mergeCell ref="C41:G41"/>
    <mergeCell ref="H41:I41"/>
    <mergeCell ref="C47:G47"/>
    <mergeCell ref="C48:G48"/>
    <mergeCell ref="C53:K53"/>
    <mergeCell ref="C45:I45"/>
    <mergeCell ref="C52:G52"/>
    <mergeCell ref="H56:J56"/>
    <mergeCell ref="C42:K42"/>
    <mergeCell ref="C43:G43"/>
    <mergeCell ref="C44:G44"/>
    <mergeCell ref="H44:I44"/>
    <mergeCell ref="C49:G49"/>
    <mergeCell ref="C46:K46"/>
    <mergeCell ref="C37:K37"/>
    <mergeCell ref="C38:G38"/>
    <mergeCell ref="C31:G31"/>
    <mergeCell ref="C33:G33"/>
    <mergeCell ref="H33:I33"/>
    <mergeCell ref="C34:K34"/>
    <mergeCell ref="C35:G35"/>
    <mergeCell ref="C36:G36"/>
    <mergeCell ref="H36:I36"/>
    <mergeCell ref="C32:G32"/>
  </mergeCells>
  <pageMargins left="0.7" right="0.7" top="0.75" bottom="0.75" header="0.3" footer="0.3"/>
  <pageSetup scale="50" orientation="portrait"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'vlookup- do not delete'!$A$2:$A$8</xm:f>
          </x14:formula1>
          <xm:sqref>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D217-4484-4326-A37F-AC934BBFB9EA}">
  <sheetPr>
    <tabColor rgb="FF00B050"/>
    <pageSetUpPr fitToPage="1"/>
  </sheetPr>
  <dimension ref="A1:M67"/>
  <sheetViews>
    <sheetView zoomScaleNormal="100" workbookViewId="0">
      <selection activeCell="I1" sqref="I1"/>
    </sheetView>
  </sheetViews>
  <sheetFormatPr defaultColWidth="8.85546875" defaultRowHeight="15" x14ac:dyDescent="0.25"/>
  <cols>
    <col min="1" max="1" width="3.42578125" style="95" customWidth="1"/>
    <col min="2" max="2" width="4.5703125" style="101" customWidth="1"/>
    <col min="3" max="3" width="16.42578125" style="108" customWidth="1"/>
    <col min="4" max="4" width="20.7109375" style="108" customWidth="1"/>
    <col min="5" max="5" width="8.7109375" style="108" customWidth="1"/>
    <col min="6" max="6" width="16.7109375" style="108" customWidth="1"/>
    <col min="7" max="7" width="10.42578125" style="108" customWidth="1"/>
    <col min="8" max="8" width="16.85546875" style="109" customWidth="1"/>
    <col min="9" max="9" width="13.5703125" style="109" customWidth="1"/>
    <col min="10" max="11" width="9.85546875" style="109" customWidth="1"/>
    <col min="12" max="12" width="1.5703125" style="95" customWidth="1"/>
    <col min="13" max="13" width="3.42578125" style="95" customWidth="1"/>
    <col min="14" max="16384" width="8.85546875" style="95"/>
  </cols>
  <sheetData>
    <row r="1" spans="1:13" ht="30" customHeight="1" x14ac:dyDescent="0.25">
      <c r="I1" s="187" t="s">
        <v>500</v>
      </c>
      <c r="J1" s="177" t="s">
        <v>395</v>
      </c>
    </row>
    <row r="2" spans="1:13" x14ac:dyDescent="0.25">
      <c r="A2" s="96"/>
      <c r="B2" s="102"/>
      <c r="C2" s="110"/>
      <c r="D2" s="110"/>
      <c r="E2" s="110"/>
      <c r="F2" s="110"/>
      <c r="G2" s="110"/>
      <c r="H2" s="111"/>
      <c r="I2" s="111"/>
      <c r="J2" s="111"/>
      <c r="K2" s="111"/>
      <c r="L2" s="96"/>
      <c r="M2" s="96"/>
    </row>
    <row r="3" spans="1:13" ht="15.6" customHeight="1" x14ac:dyDescent="0.25">
      <c r="A3" s="96"/>
      <c r="C3" s="714" t="s">
        <v>644</v>
      </c>
      <c r="D3" s="715"/>
      <c r="E3" s="715"/>
      <c r="F3" s="715"/>
      <c r="G3" s="715"/>
      <c r="H3" s="715"/>
      <c r="I3" s="715"/>
      <c r="J3" s="715"/>
      <c r="K3" s="716"/>
      <c r="L3" s="92"/>
      <c r="M3" s="93"/>
    </row>
    <row r="4" spans="1:13" ht="6" customHeight="1" x14ac:dyDescent="0.25">
      <c r="A4" s="96"/>
      <c r="C4" s="112"/>
      <c r="D4" s="112"/>
      <c r="E4" s="112"/>
      <c r="F4" s="112"/>
      <c r="G4" s="112"/>
      <c r="H4" s="113"/>
      <c r="I4" s="113"/>
      <c r="J4" s="113"/>
      <c r="K4" s="113"/>
      <c r="L4" s="92"/>
      <c r="M4" s="93"/>
    </row>
    <row r="5" spans="1:13" ht="17.25" customHeight="1" x14ac:dyDescent="0.25">
      <c r="A5" s="96"/>
      <c r="C5" s="163" t="s">
        <v>44</v>
      </c>
      <c r="D5" s="176" t="str">
        <f>VLOOKUP($I$1,'vlookup- do not delete'!A1:D8,2,FALSE)</f>
        <v>TEST AGENCY</v>
      </c>
      <c r="F5" s="163" t="s">
        <v>311</v>
      </c>
      <c r="G5" s="176" t="str">
        <f>VLOOKUP($I$1,'vlookup- do not delete'!A1:D8,1,FALSE)</f>
        <v>TEST RRH</v>
      </c>
      <c r="H5" s="113"/>
      <c r="I5" s="163" t="s">
        <v>364</v>
      </c>
      <c r="J5" s="727" t="s">
        <v>641</v>
      </c>
      <c r="K5" s="728"/>
      <c r="L5" s="92"/>
      <c r="M5" s="93"/>
    </row>
    <row r="6" spans="1:13" ht="15" hidden="1" customHeight="1" x14ac:dyDescent="0.25">
      <c r="A6" s="96"/>
      <c r="C6" s="178" t="s">
        <v>46</v>
      </c>
      <c r="D6" s="179" t="e">
        <f>VLOOKUP($I$1,#REF!,#REF!,FALSE)</f>
        <v>#REF!</v>
      </c>
      <c r="F6" s="178"/>
      <c r="G6" s="179"/>
      <c r="H6" s="113"/>
      <c r="I6" s="129"/>
      <c r="J6" s="156"/>
      <c r="K6" s="131"/>
      <c r="L6" s="92"/>
      <c r="M6" s="93"/>
    </row>
    <row r="7" spans="1:13" x14ac:dyDescent="0.25">
      <c r="A7" s="96"/>
      <c r="C7" s="163" t="s">
        <v>48</v>
      </c>
      <c r="D7" s="176" t="str">
        <f>VLOOKUP($I$1,'vlookup- do not delete'!A1:D8,3,FALSE)</f>
        <v>TEST PROJECT RRH</v>
      </c>
      <c r="F7" s="163" t="s">
        <v>289</v>
      </c>
      <c r="G7" s="176" t="str">
        <f>VLOOKUP($I$1,'vlookup- do not delete'!A1:D8,4,FALSE)</f>
        <v>RRH</v>
      </c>
      <c r="H7" s="182"/>
      <c r="I7" s="163" t="s">
        <v>365</v>
      </c>
      <c r="J7" s="753" t="str">
        <f>VLOOKUP(I$1,'Scoring Calculator'!$A$5:$BB$11,COLUMN('Scoring Calculator'!D1),FALSE)</f>
        <v>Tenant-Based</v>
      </c>
      <c r="K7" s="753"/>
      <c r="L7" s="92"/>
      <c r="M7" s="93"/>
    </row>
    <row r="8" spans="1:13" ht="5.25" customHeight="1" x14ac:dyDescent="0.25">
      <c r="A8" s="96"/>
      <c r="G8" s="112"/>
      <c r="L8" s="92"/>
      <c r="M8" s="93"/>
    </row>
    <row r="9" spans="1:13" x14ac:dyDescent="0.25">
      <c r="A9" s="96"/>
      <c r="D9" s="167" t="s">
        <v>308</v>
      </c>
      <c r="E9" s="181">
        <f>VLOOKUP($I$1,'Raw Project Data'!A3:CQ10,COLUMN('Raw Project Data'!Y1),FALSE)</f>
        <v>216</v>
      </c>
      <c r="F9" s="183"/>
      <c r="G9" s="184"/>
      <c r="H9" s="185"/>
      <c r="I9" s="166" t="s">
        <v>309</v>
      </c>
      <c r="J9" s="427">
        <f>VLOOKUP($I$1,'Raw Project Data'!A3:CQ10,COLUMN('Raw Project Data'!AG1),FALSE)</f>
        <v>174</v>
      </c>
      <c r="M9" s="96"/>
    </row>
    <row r="10" spans="1:13" x14ac:dyDescent="0.25">
      <c r="A10" s="96"/>
      <c r="C10" s="186"/>
      <c r="D10" s="163" t="s">
        <v>304</v>
      </c>
      <c r="E10" s="180">
        <f>VLOOKUP($I$1,'Raw Project Data'!A3:CQ109,COLUMN('Raw Project Data'!AH1),FALSE)</f>
        <v>110</v>
      </c>
      <c r="F10" s="183"/>
      <c r="G10" s="184"/>
      <c r="H10" s="185"/>
      <c r="I10" s="166" t="s">
        <v>310</v>
      </c>
      <c r="J10" s="427">
        <f>VLOOKUP($I$1,'Raw Project Data'!A3:CQ10,COLUMN('Raw Project Data'!AI1),FALSE)</f>
        <v>92</v>
      </c>
      <c r="L10" s="92"/>
      <c r="M10" s="93"/>
    </row>
    <row r="11" spans="1:13" ht="3.75" customHeight="1" x14ac:dyDescent="0.25">
      <c r="A11" s="96"/>
      <c r="M11" s="96"/>
    </row>
    <row r="12" spans="1:13" x14ac:dyDescent="0.25">
      <c r="A12" s="96"/>
      <c r="C12" s="751" t="s">
        <v>0</v>
      </c>
      <c r="D12" s="751"/>
      <c r="E12" s="751"/>
      <c r="F12" s="751"/>
      <c r="G12" s="751"/>
      <c r="H12" s="752" t="s">
        <v>642</v>
      </c>
      <c r="I12" s="752" t="s">
        <v>58</v>
      </c>
      <c r="J12" s="752" t="s">
        <v>59</v>
      </c>
      <c r="K12" s="752" t="s">
        <v>60</v>
      </c>
      <c r="M12" s="96"/>
    </row>
    <row r="13" spans="1:13" x14ac:dyDescent="0.25">
      <c r="A13" s="96"/>
      <c r="C13" s="751"/>
      <c r="D13" s="751"/>
      <c r="E13" s="751"/>
      <c r="F13" s="751"/>
      <c r="G13" s="751"/>
      <c r="H13" s="752"/>
      <c r="I13" s="752"/>
      <c r="J13" s="752"/>
      <c r="K13" s="752"/>
      <c r="M13" s="96"/>
    </row>
    <row r="14" spans="1:13" x14ac:dyDescent="0.25">
      <c r="A14" s="96"/>
      <c r="C14" s="751"/>
      <c r="D14" s="751"/>
      <c r="E14" s="751"/>
      <c r="F14" s="751"/>
      <c r="G14" s="751"/>
      <c r="H14" s="119" t="s">
        <v>5</v>
      </c>
      <c r="I14" s="752"/>
      <c r="J14" s="752"/>
      <c r="K14" s="752"/>
      <c r="M14" s="96"/>
    </row>
    <row r="15" spans="1:13" x14ac:dyDescent="0.25">
      <c r="A15" s="96"/>
      <c r="C15" s="754" t="s">
        <v>444</v>
      </c>
      <c r="D15" s="755"/>
      <c r="E15" s="755"/>
      <c r="F15" s="755"/>
      <c r="G15" s="755"/>
      <c r="H15" s="755"/>
      <c r="I15" s="755"/>
      <c r="J15" s="755"/>
      <c r="K15" s="756"/>
      <c r="M15" s="96"/>
    </row>
    <row r="16" spans="1:13" x14ac:dyDescent="0.25">
      <c r="A16" s="96"/>
      <c r="C16" s="747" t="s">
        <v>11</v>
      </c>
      <c r="D16" s="747"/>
      <c r="E16" s="747"/>
      <c r="F16" s="747"/>
      <c r="G16" s="747"/>
      <c r="H16" s="747"/>
      <c r="I16" s="747"/>
      <c r="J16" s="747"/>
      <c r="K16" s="747"/>
      <c r="M16" s="96"/>
    </row>
    <row r="17" spans="1:13" ht="23.45" customHeight="1" x14ac:dyDescent="0.25">
      <c r="A17" s="96"/>
      <c r="B17" s="56">
        <v>1</v>
      </c>
      <c r="C17" s="691" t="s">
        <v>290</v>
      </c>
      <c r="D17" s="692"/>
      <c r="E17" s="692"/>
      <c r="F17" s="692"/>
      <c r="G17" s="693"/>
      <c r="H17" s="125">
        <v>0.95</v>
      </c>
      <c r="I17" s="126">
        <f>VLOOKUP(I$1,'Scoring Calculator'!A3:BD11,COLUMN('Scoring Calculator'!H1),FALSE)</f>
        <v>0.9</v>
      </c>
      <c r="J17" s="127">
        <f>IF(K17="N/A","N/A",10)</f>
        <v>10</v>
      </c>
      <c r="K17" s="128">
        <f>IF(I17="N/A","N/A",VLOOKUP(I$1,'Scoring Calculator'!$A$3:$BD$11,COLUMN('Scoring Calculator'!AG1),FALSE))</f>
        <v>5</v>
      </c>
      <c r="M17" s="96"/>
    </row>
    <row r="18" spans="1:13" ht="35.1" customHeight="1" x14ac:dyDescent="0.25">
      <c r="A18" s="96"/>
      <c r="B18" s="56">
        <v>2</v>
      </c>
      <c r="C18" s="700" t="s">
        <v>291</v>
      </c>
      <c r="D18" s="701"/>
      <c r="E18" s="701"/>
      <c r="F18" s="701"/>
      <c r="G18" s="702"/>
      <c r="H18" s="125">
        <v>0.95</v>
      </c>
      <c r="I18" s="126">
        <f>VLOOKUP(I$1,'Scoring Calculator'!A3:BD11,COLUMN('Scoring Calculator'!I1),FALSE)</f>
        <v>0.36875000000000002</v>
      </c>
      <c r="J18" s="127">
        <f>IF(K18="N/A","N/A",10)</f>
        <v>10</v>
      </c>
      <c r="K18" s="128">
        <f>IF(I18="N/A","N/A",VLOOKUP(I$1,'Scoring Calculator'!$A$3:$BD$11,COLUMN('Scoring Calculator'!AH1),FALSE))</f>
        <v>0</v>
      </c>
      <c r="M18" s="96"/>
    </row>
    <row r="19" spans="1:13" x14ac:dyDescent="0.25">
      <c r="A19" s="96"/>
      <c r="C19" s="747" t="s">
        <v>15</v>
      </c>
      <c r="D19" s="747"/>
      <c r="E19" s="747"/>
      <c r="F19" s="747"/>
      <c r="G19" s="747"/>
      <c r="H19" s="747"/>
      <c r="I19" s="747"/>
      <c r="J19" s="747"/>
      <c r="K19" s="747"/>
      <c r="M19" s="96"/>
    </row>
    <row r="20" spans="1:13" ht="33.75" customHeight="1" x14ac:dyDescent="0.25">
      <c r="A20" s="96"/>
      <c r="B20" s="56">
        <v>3</v>
      </c>
      <c r="C20" s="647" t="s">
        <v>467</v>
      </c>
      <c r="D20" s="648"/>
      <c r="E20" s="648"/>
      <c r="F20" s="648"/>
      <c r="G20" s="649"/>
      <c r="H20" s="125">
        <v>1</v>
      </c>
      <c r="I20" s="126">
        <f>VLOOKUP(I$1,'Scoring Calculator'!$A$3:$BD$11,COLUMN('Scoring Calculator'!J1),FALSE)</f>
        <v>0.82399999999999995</v>
      </c>
      <c r="J20" s="127">
        <f>IF(K20="N/A","N/A",10)</f>
        <v>10</v>
      </c>
      <c r="K20" s="128">
        <f>IF(I20="N/A","N/A",VLOOKUP(I$1,'Scoring Calculator'!$A$3:$BD$11,COLUMN('Scoring Calculator'!AI1),FALSE))</f>
        <v>0</v>
      </c>
      <c r="M20" s="96"/>
    </row>
    <row r="21" spans="1:13" x14ac:dyDescent="0.25">
      <c r="A21" s="96"/>
      <c r="C21" s="703" t="s">
        <v>317</v>
      </c>
      <c r="D21" s="704"/>
      <c r="E21" s="704"/>
      <c r="F21" s="704"/>
      <c r="G21" s="704"/>
      <c r="H21" s="704"/>
      <c r="I21" s="704"/>
      <c r="J21" s="704"/>
      <c r="K21" s="705"/>
      <c r="M21" s="96"/>
    </row>
    <row r="22" spans="1:13" ht="51" customHeight="1" x14ac:dyDescent="0.25">
      <c r="A22" s="96"/>
      <c r="B22" s="56">
        <v>5</v>
      </c>
      <c r="C22" s="647" t="s">
        <v>318</v>
      </c>
      <c r="D22" s="648"/>
      <c r="E22" s="648"/>
      <c r="F22" s="648"/>
      <c r="G22" s="649"/>
      <c r="H22" s="132" t="s">
        <v>362</v>
      </c>
      <c r="I22" s="133">
        <f>VLOOKUP(I$1,'Scoring Calculator'!$A$3:$BD$11,COLUMN('Scoring Calculator'!L1),FALSE)</f>
        <v>21.14</v>
      </c>
      <c r="J22" s="127">
        <f>IF(K22="N/A","N/A",5)</f>
        <v>5</v>
      </c>
      <c r="K22" s="152">
        <f>IF(I22="N/A","N/A",VLOOKUP(I$1,'Scoring Calculator'!$A$3:$BD$11,COLUMN('Scoring Calculator'!AK1),FALSE))</f>
        <v>5</v>
      </c>
      <c r="M22" s="96"/>
    </row>
    <row r="23" spans="1:13" x14ac:dyDescent="0.25">
      <c r="A23" s="96"/>
      <c r="C23" s="747" t="s">
        <v>18</v>
      </c>
      <c r="D23" s="747"/>
      <c r="E23" s="747"/>
      <c r="F23" s="747"/>
      <c r="G23" s="747"/>
      <c r="H23" s="747"/>
      <c r="I23" s="747"/>
      <c r="J23" s="747"/>
      <c r="K23" s="747"/>
      <c r="M23" s="96"/>
    </row>
    <row r="24" spans="1:13" ht="37.5" customHeight="1" x14ac:dyDescent="0.25">
      <c r="A24" s="96"/>
      <c r="B24" s="56">
        <v>6</v>
      </c>
      <c r="C24" s="706" t="s">
        <v>65</v>
      </c>
      <c r="D24" s="707"/>
      <c r="E24" s="707"/>
      <c r="F24" s="707"/>
      <c r="G24" s="708"/>
      <c r="H24" s="213">
        <v>0.25</v>
      </c>
      <c r="I24" s="214">
        <f>VLOOKUP(I$1,'Scoring Calculator'!$A$3:$BD$11,COLUMN('Scoring Calculator'!M1),FALSE)</f>
        <v>0.13953488372093023</v>
      </c>
      <c r="J24" s="127">
        <f>IF(K24="N/A","N/A",10)</f>
        <v>10</v>
      </c>
      <c r="K24" s="128">
        <f>IF(I24="N/A","N/A",VLOOKUP(I$1,'Scoring Calculator'!$A$3:$BD$11,COLUMN('Scoring Calculator'!AL1),FALSE))</f>
        <v>6</v>
      </c>
      <c r="M24" s="96"/>
    </row>
    <row r="25" spans="1:13" ht="37.5" customHeight="1" x14ac:dyDescent="0.25">
      <c r="A25" s="96"/>
      <c r="B25" s="56">
        <v>7</v>
      </c>
      <c r="C25" s="647" t="s">
        <v>374</v>
      </c>
      <c r="D25" s="648"/>
      <c r="E25" s="648"/>
      <c r="F25" s="648"/>
      <c r="G25" s="649"/>
      <c r="H25" s="213">
        <v>0.15</v>
      </c>
      <c r="I25" s="214">
        <f>VLOOKUP(I$1,'Scoring Calculator'!$A$3:$BD$11,COLUMN('Scoring Calculator'!N1),FALSE)</f>
        <v>0.11627906976744186</v>
      </c>
      <c r="J25" s="127">
        <f>IF(K25="N/A","N/A",5)</f>
        <v>5</v>
      </c>
      <c r="K25" s="128">
        <f>IF(I25="N/A","N/A",VLOOKUP(I$1,'Scoring Calculator'!$A$3:$BD$11,COLUMN('Scoring Calculator'!AM1),FALSE))</f>
        <v>3</v>
      </c>
      <c r="M25" s="96"/>
    </row>
    <row r="26" spans="1:13" ht="37.5" customHeight="1" x14ac:dyDescent="0.25">
      <c r="A26" s="96"/>
      <c r="B26" s="56">
        <v>8</v>
      </c>
      <c r="C26" s="711" t="s">
        <v>572</v>
      </c>
      <c r="D26" s="712"/>
      <c r="E26" s="712"/>
      <c r="F26" s="712"/>
      <c r="G26" s="713"/>
      <c r="H26" s="213">
        <v>0.7</v>
      </c>
      <c r="I26" s="214">
        <f>VLOOKUP(I$1,'Scoring Calculator'!$A$3:$BD$11,COLUMN('Scoring Calculator'!O1),FALSE)</f>
        <v>0.46511627906976744</v>
      </c>
      <c r="J26" s="127">
        <f>IF(K26="N/A","N/A",5)</f>
        <v>5</v>
      </c>
      <c r="K26" s="128">
        <f>IF(I26="N/A","N/A",VLOOKUP(I$1,'Scoring Calculator'!$A$3:$BD$11,COLUMN('Scoring Calculator'!AN1),FALSE))</f>
        <v>1</v>
      </c>
      <c r="M26" s="96"/>
    </row>
    <row r="27" spans="1:13" ht="37.5" customHeight="1" x14ac:dyDescent="0.25">
      <c r="A27" s="96"/>
      <c r="B27" s="56">
        <v>9</v>
      </c>
      <c r="C27" s="647" t="s">
        <v>375</v>
      </c>
      <c r="D27" s="648"/>
      <c r="E27" s="648"/>
      <c r="F27" s="648"/>
      <c r="G27" s="649"/>
      <c r="H27" s="213">
        <v>0.55000000000000004</v>
      </c>
      <c r="I27" s="126">
        <f>VLOOKUP(I$1,'Scoring Calculator'!$A$3:$BD$11,COLUMN('Scoring Calculator'!P1),FALSE)</f>
        <v>0.76190476190476186</v>
      </c>
      <c r="J27" s="127">
        <f>IF(K27="N/A","N/A",3)</f>
        <v>3</v>
      </c>
      <c r="K27" s="128">
        <f>IF(I27="N/A","N/A",VLOOKUP(I$1,'Scoring Calculator'!$A$3:$BD$11,COLUMN('Scoring Calculator'!AO1),FALSE))</f>
        <v>3</v>
      </c>
      <c r="M27" s="96"/>
    </row>
    <row r="28" spans="1:13" x14ac:dyDescent="0.25">
      <c r="A28" s="96"/>
      <c r="C28" s="747" t="s">
        <v>22</v>
      </c>
      <c r="D28" s="747"/>
      <c r="E28" s="747"/>
      <c r="F28" s="747"/>
      <c r="G28" s="747"/>
      <c r="H28" s="747"/>
      <c r="I28" s="747"/>
      <c r="J28" s="747"/>
      <c r="K28" s="747"/>
      <c r="M28" s="96"/>
    </row>
    <row r="29" spans="1:13" ht="21" customHeight="1" x14ac:dyDescent="0.25">
      <c r="A29" s="96"/>
      <c r="B29" s="56">
        <v>10</v>
      </c>
      <c r="C29" s="748" t="s">
        <v>125</v>
      </c>
      <c r="D29" s="749"/>
      <c r="E29" s="749"/>
      <c r="F29" s="749"/>
      <c r="G29" s="750"/>
      <c r="H29" s="125">
        <v>0.5</v>
      </c>
      <c r="I29" s="367">
        <f>VLOOKUP(I$1,'Scoring Calculator'!$A$3:$BD$11,COLUMN('Scoring Calculator'!Q1),FALSE)</f>
        <v>0.56944444444444442</v>
      </c>
      <c r="J29" s="368">
        <f>IF(K29="N/A","N/A",5)</f>
        <v>5</v>
      </c>
      <c r="K29" s="372">
        <f>IF(I29="N/A","N/A",VLOOKUP(I$1,'Scoring Calculator'!$A$3:$BD$11,COLUMN('Scoring Calculator'!AP1),FALSE))</f>
        <v>5</v>
      </c>
      <c r="M29" s="96"/>
    </row>
    <row r="30" spans="1:13" x14ac:dyDescent="0.25">
      <c r="A30" s="96"/>
      <c r="B30" s="56"/>
      <c r="C30" s="747" t="s">
        <v>25</v>
      </c>
      <c r="D30" s="747"/>
      <c r="E30" s="747"/>
      <c r="F30" s="747"/>
      <c r="G30" s="747"/>
      <c r="H30" s="747"/>
      <c r="I30" s="747"/>
      <c r="J30" s="747"/>
      <c r="K30" s="747"/>
      <c r="M30" s="96"/>
    </row>
    <row r="31" spans="1:13" ht="21" customHeight="1" x14ac:dyDescent="0.25">
      <c r="A31" s="96"/>
      <c r="B31" s="56">
        <v>12</v>
      </c>
      <c r="C31" s="746" t="s">
        <v>122</v>
      </c>
      <c r="D31" s="746"/>
      <c r="E31" s="746"/>
      <c r="F31" s="746"/>
      <c r="G31" s="746"/>
      <c r="H31" s="125">
        <v>0.85</v>
      </c>
      <c r="I31" s="367">
        <f>VLOOKUP(I$1,'Scoring Calculator'!$A$3:$BD$11,COLUMN('Scoring Calculator'!S1),FALSE)</f>
        <v>0.90500000000000003</v>
      </c>
      <c r="J31" s="368">
        <f>IF(K31="N/A","N/A",5)</f>
        <v>5</v>
      </c>
      <c r="K31" s="372">
        <f>IF(I31="N/A","N/A",VLOOKUP(I$1,'Scoring Calculator'!$A$3:$BD$11,COLUMN('Scoring Calculator'!AR1),FALSE))</f>
        <v>5</v>
      </c>
      <c r="M31" s="96"/>
    </row>
    <row r="32" spans="1:13" ht="30" customHeight="1" x14ac:dyDescent="0.25">
      <c r="A32" s="96"/>
      <c r="B32" s="56">
        <v>13</v>
      </c>
      <c r="C32" s="746" t="s">
        <v>381</v>
      </c>
      <c r="D32" s="746"/>
      <c r="E32" s="746"/>
      <c r="F32" s="746"/>
      <c r="G32" s="746"/>
      <c r="H32" s="125" t="s">
        <v>316</v>
      </c>
      <c r="I32" s="367">
        <f>VLOOKUP(I$1,'Scoring Calculator'!$A$3:$BD$11,COLUMN('Scoring Calculator'!T1),FALSE)</f>
        <v>0</v>
      </c>
      <c r="J32" s="368">
        <f>IF(K32="N/A","N/A",5)</f>
        <v>5</v>
      </c>
      <c r="K32" s="128">
        <f>IF(I32="N/A","N/A",VLOOKUP(I$1,'Scoring Calculator'!$A$3:$BD$11,COLUMN('Scoring Calculator'!AS1),FALSE))</f>
        <v>5</v>
      </c>
      <c r="M32" s="96"/>
    </row>
    <row r="33" spans="1:13" ht="33.75" customHeight="1" x14ac:dyDescent="0.25">
      <c r="A33" s="96"/>
      <c r="B33" s="56">
        <v>14</v>
      </c>
      <c r="C33" s="647" t="s">
        <v>577</v>
      </c>
      <c r="D33" s="648"/>
      <c r="E33" s="648"/>
      <c r="F33" s="648"/>
      <c r="G33" s="649"/>
      <c r="H33" s="84" t="s">
        <v>578</v>
      </c>
      <c r="I33" s="85">
        <f>VLOOKUP(I$1,'Scoring Calculator'!$A$3:$BD$11,COLUMN('Scoring Calculator'!U1),FALSE)</f>
        <v>0.125</v>
      </c>
      <c r="J33" s="86">
        <f>IF(K33="N/A","N/A",10)</f>
        <v>10</v>
      </c>
      <c r="K33" s="87">
        <f>IF(I33="N/A","N/A",VLOOKUP(I$1,'Scoring Calculator'!$A$3:$BD$11,COLUMN('Scoring Calculator'!AT1),FALSE))</f>
        <v>10</v>
      </c>
      <c r="M33" s="96"/>
    </row>
    <row r="34" spans="1:13" x14ac:dyDescent="0.25">
      <c r="A34" s="96"/>
      <c r="B34" s="56"/>
      <c r="C34" s="742" t="s">
        <v>68</v>
      </c>
      <c r="D34" s="743"/>
      <c r="E34" s="743"/>
      <c r="F34" s="743"/>
      <c r="G34" s="743"/>
      <c r="H34" s="744"/>
      <c r="I34" s="745"/>
      <c r="J34" s="369">
        <f>SUM(J17:J33)</f>
        <v>83</v>
      </c>
      <c r="K34" s="124">
        <f>SUM(K17:K32)</f>
        <v>38</v>
      </c>
      <c r="M34" s="96"/>
    </row>
    <row r="35" spans="1:13" x14ac:dyDescent="0.25">
      <c r="A35" s="96"/>
      <c r="B35" s="56"/>
      <c r="C35" s="644" t="s">
        <v>370</v>
      </c>
      <c r="D35" s="645"/>
      <c r="E35" s="645"/>
      <c r="F35" s="645"/>
      <c r="G35" s="645"/>
      <c r="H35" s="645"/>
      <c r="I35" s="645"/>
      <c r="J35" s="645"/>
      <c r="K35" s="646"/>
      <c r="M35" s="96"/>
    </row>
    <row r="36" spans="1:13" ht="30.6" customHeight="1" x14ac:dyDescent="0.25">
      <c r="A36" s="96"/>
      <c r="B36" s="56">
        <v>15</v>
      </c>
      <c r="C36" s="647" t="s">
        <v>380</v>
      </c>
      <c r="D36" s="648"/>
      <c r="E36" s="648"/>
      <c r="F36" s="648"/>
      <c r="G36" s="649"/>
      <c r="H36" s="90">
        <v>0.75</v>
      </c>
      <c r="I36" s="214">
        <f>VLOOKUP(I$1,'Scoring Calculator'!$A$3:$BD$11,COLUMN('Scoring Calculator'!V1),FALSE)</f>
        <v>0.28846153846153844</v>
      </c>
      <c r="J36" s="215">
        <f>IF(K36="N/A","N/A",2)</f>
        <v>2</v>
      </c>
      <c r="K36" s="216">
        <f>IF(I36="N/A","N/A",VLOOKUP(I$1,'Scoring Calculator'!$A$3:$BD$11,COLUMN('Scoring Calculator'!AU1),FALSE))</f>
        <v>0</v>
      </c>
      <c r="M36" s="96"/>
    </row>
    <row r="37" spans="1:13" x14ac:dyDescent="0.25">
      <c r="A37" s="96"/>
      <c r="B37" s="56"/>
      <c r="C37" s="650" t="s">
        <v>403</v>
      </c>
      <c r="D37" s="651"/>
      <c r="E37" s="651"/>
      <c r="F37" s="651"/>
      <c r="G37" s="651"/>
      <c r="H37" s="652"/>
      <c r="I37" s="653"/>
      <c r="J37" s="442">
        <f>J36</f>
        <v>2</v>
      </c>
      <c r="K37" s="443">
        <f>K36</f>
        <v>0</v>
      </c>
      <c r="M37" s="96"/>
    </row>
    <row r="38" spans="1:13" x14ac:dyDescent="0.25">
      <c r="A38" s="96"/>
      <c r="B38" s="56"/>
      <c r="C38" s="675" t="s">
        <v>27</v>
      </c>
      <c r="D38" s="676"/>
      <c r="E38" s="676"/>
      <c r="F38" s="676"/>
      <c r="G38" s="676"/>
      <c r="H38" s="676"/>
      <c r="I38" s="676"/>
      <c r="J38" s="676"/>
      <c r="K38" s="678"/>
      <c r="M38" s="96"/>
    </row>
    <row r="39" spans="1:13" ht="29.1" customHeight="1" x14ac:dyDescent="0.25">
      <c r="A39" s="96"/>
      <c r="B39" s="56">
        <v>16</v>
      </c>
      <c r="C39" s="647" t="s">
        <v>28</v>
      </c>
      <c r="D39" s="648"/>
      <c r="E39" s="648"/>
      <c r="F39" s="648"/>
      <c r="G39" s="649"/>
      <c r="H39" s="84" t="s">
        <v>30</v>
      </c>
      <c r="I39" s="114">
        <f>VLOOKUP(I$1,'Scoring Calculator'!$A$3:$BD$11,COLUMN('Scoring Calculator'!W1),FALSE)</f>
        <v>0.25</v>
      </c>
      <c r="J39" s="115">
        <f>IF(K39="N/A","N/A",5)</f>
        <v>5</v>
      </c>
      <c r="K39" s="116">
        <f>IF(I39="N/A","N/A",VLOOKUP(I$1,'Scoring Calculator'!$A$3:$BD$11,COLUMN('Scoring Calculator'!AV1),FALSE))</f>
        <v>5</v>
      </c>
      <c r="M39" s="96"/>
    </row>
    <row r="40" spans="1:13" ht="30" x14ac:dyDescent="0.25">
      <c r="A40" s="96"/>
      <c r="B40" s="56">
        <v>17</v>
      </c>
      <c r="C40" s="647" t="s">
        <v>123</v>
      </c>
      <c r="D40" s="648"/>
      <c r="E40" s="648"/>
      <c r="F40" s="648"/>
      <c r="G40" s="649"/>
      <c r="H40" s="91" t="s">
        <v>124</v>
      </c>
      <c r="I40" s="114" t="str">
        <f>VLOOKUP(I$1,'Scoring Calculator'!$A$3:$BD$11,COLUMN('Scoring Calculator'!X1),FALSE)</f>
        <v>Yes</v>
      </c>
      <c r="J40" s="115">
        <f>IF(K40="N/A","N/A",5)</f>
        <v>5</v>
      </c>
      <c r="K40" s="116">
        <f>IF(I40="N/A","N/A",VLOOKUP(I$1,'Scoring Calculator'!$A$3:$BD$11,COLUMN('Scoring Calculator'!AW1),FALSE))</f>
        <v>5</v>
      </c>
      <c r="M40" s="96"/>
    </row>
    <row r="41" spans="1:13" ht="30" x14ac:dyDescent="0.25">
      <c r="A41" s="96"/>
      <c r="B41" s="56">
        <v>18</v>
      </c>
      <c r="C41" s="761" t="s">
        <v>468</v>
      </c>
      <c r="D41" s="762"/>
      <c r="E41" s="762"/>
      <c r="F41" s="762"/>
      <c r="G41" s="763"/>
      <c r="H41" s="373" t="s">
        <v>477</v>
      </c>
      <c r="I41" s="374" t="str">
        <f>VLOOKUP(I$1,'Scoring Calculator'!$A$3:$BD$11,COLUMN('Scoring Calculator'!Y1),FALSE)</f>
        <v>Yes</v>
      </c>
      <c r="J41" s="115">
        <f>IF(K41="N/A","N/A",2)</f>
        <v>2</v>
      </c>
      <c r="K41" s="375">
        <f>IF(I41="N/A","N/A",VLOOKUP(I$1,'Scoring Calculator'!$A$3:$BD$11,COLUMN('Scoring Calculator'!AX1),FALSE))</f>
        <v>2</v>
      </c>
      <c r="M41" s="96"/>
    </row>
    <row r="42" spans="1:13" ht="16.5" customHeight="1" x14ac:dyDescent="0.25">
      <c r="A42" s="96"/>
      <c r="B42" s="56"/>
      <c r="C42" s="767" t="s">
        <v>71</v>
      </c>
      <c r="D42" s="768"/>
      <c r="E42" s="768"/>
      <c r="F42" s="768"/>
      <c r="G42" s="769"/>
      <c r="H42" s="764"/>
      <c r="I42" s="765"/>
      <c r="J42" s="121">
        <f>SUM(J39:J41)</f>
        <v>12</v>
      </c>
      <c r="K42" s="121">
        <f>SUM(K39:K41)</f>
        <v>12</v>
      </c>
      <c r="M42" s="96"/>
    </row>
    <row r="43" spans="1:13" x14ac:dyDescent="0.25">
      <c r="A43" s="96"/>
      <c r="B43" s="56"/>
      <c r="C43" s="675" t="s">
        <v>580</v>
      </c>
      <c r="D43" s="676"/>
      <c r="E43" s="676"/>
      <c r="F43" s="676"/>
      <c r="G43" s="676"/>
      <c r="H43" s="677"/>
      <c r="I43" s="677"/>
      <c r="J43" s="676"/>
      <c r="K43" s="678"/>
      <c r="M43" s="96"/>
    </row>
    <row r="44" spans="1:13" ht="33" customHeight="1" x14ac:dyDescent="0.25">
      <c r="A44" s="96"/>
      <c r="B44" s="56">
        <v>19</v>
      </c>
      <c r="C44" s="660" t="s">
        <v>621</v>
      </c>
      <c r="D44" s="661"/>
      <c r="E44" s="661"/>
      <c r="F44" s="661"/>
      <c r="G44" s="679"/>
      <c r="H44" s="162" t="s">
        <v>583</v>
      </c>
      <c r="I44" s="114" t="str">
        <f>VLOOKUP(I$1,'Scoring Calculator'!$A$3:$BD$11,COLUMN('Scoring Calculator'!Z2),FALSE)</f>
        <v>Yes</v>
      </c>
      <c r="J44" s="115">
        <f>IF(K44="N/A","N/A",3)</f>
        <v>3</v>
      </c>
      <c r="K44" s="420">
        <f>IF(I44="N/A","N/A",VLOOKUP(I$1,'Scoring Calculator'!$A$3:$BD$11,COLUMN('Scoring Calculator'!AY1),FALSE))</f>
        <v>3</v>
      </c>
      <c r="M44" s="96"/>
    </row>
    <row r="45" spans="1:13" x14ac:dyDescent="0.25">
      <c r="A45" s="96"/>
      <c r="B45" s="56"/>
      <c r="C45" s="680" t="s">
        <v>643</v>
      </c>
      <c r="D45" s="681"/>
      <c r="E45" s="681"/>
      <c r="F45" s="681"/>
      <c r="G45" s="681"/>
      <c r="H45" s="682"/>
      <c r="I45" s="683"/>
      <c r="J45" s="120">
        <f>IF(J44="N/A",0,J44)</f>
        <v>3</v>
      </c>
      <c r="K45" s="120">
        <f>IF(K44="N/A",0,K44)</f>
        <v>3</v>
      </c>
      <c r="M45" s="96"/>
    </row>
    <row r="46" spans="1:13" ht="21.6" customHeight="1" x14ac:dyDescent="0.25">
      <c r="A46" s="96"/>
      <c r="B46" s="56"/>
      <c r="C46" s="766" t="s">
        <v>99</v>
      </c>
      <c r="D46" s="766"/>
      <c r="E46" s="766"/>
      <c r="F46" s="766"/>
      <c r="G46" s="766"/>
      <c r="H46" s="766"/>
      <c r="I46" s="766"/>
      <c r="J46" s="122">
        <f>_xlfn.AGGREGATE(9,2,(J34,J37,J42,J45))</f>
        <v>100</v>
      </c>
      <c r="K46" s="122">
        <f>_xlfn.AGGREGATE(9,2,K34,K37,K42,K45)</f>
        <v>53</v>
      </c>
      <c r="M46" s="96"/>
    </row>
    <row r="47" spans="1:13" x14ac:dyDescent="0.25">
      <c r="A47" s="96"/>
      <c r="B47" s="56"/>
      <c r="C47" s="675" t="s">
        <v>360</v>
      </c>
      <c r="D47" s="676"/>
      <c r="E47" s="676"/>
      <c r="F47" s="676"/>
      <c r="G47" s="676"/>
      <c r="H47" s="677"/>
      <c r="I47" s="677"/>
      <c r="J47" s="676"/>
      <c r="K47" s="678"/>
      <c r="M47" s="96"/>
    </row>
    <row r="48" spans="1:13" ht="38.450000000000003" customHeight="1" x14ac:dyDescent="0.25">
      <c r="A48" s="96"/>
      <c r="B48" s="56">
        <v>20</v>
      </c>
      <c r="C48" s="660" t="s">
        <v>470</v>
      </c>
      <c r="D48" s="661"/>
      <c r="E48" s="661"/>
      <c r="F48" s="661"/>
      <c r="G48" s="662"/>
      <c r="H48" s="731" t="s">
        <v>394</v>
      </c>
      <c r="I48" s="370">
        <f>VLOOKUP(I$1,'Scoring Calculator'!$A$3:$BD$11,COLUMN('Scoring Calculator'!AA1),FALSE)</f>
        <v>0.47580645161290325</v>
      </c>
      <c r="J48" s="371">
        <f>IF(K48="N/A","N/A",2)</f>
        <v>2</v>
      </c>
      <c r="K48" s="376">
        <f>IF(I48="N/A","N/A",VLOOKUP(I$1,'Scoring Calculator'!$A$3:$BD$11,COLUMN('Scoring Calculator'!AZ1),FALSE))</f>
        <v>0.95161290322580649</v>
      </c>
      <c r="M48" s="96"/>
    </row>
    <row r="49" spans="1:13" ht="36.950000000000003" customHeight="1" x14ac:dyDescent="0.25">
      <c r="A49" s="96"/>
      <c r="B49" s="56">
        <v>21</v>
      </c>
      <c r="C49" s="660" t="s">
        <v>393</v>
      </c>
      <c r="D49" s="661"/>
      <c r="E49" s="661"/>
      <c r="F49" s="661"/>
      <c r="G49" s="662"/>
      <c r="H49" s="732"/>
      <c r="I49" s="370">
        <f>VLOOKUP(I$1,'Scoring Calculator'!$A$3:$BD$11,COLUMN('Scoring Calculator'!AB1),FALSE)</f>
        <v>0.48</v>
      </c>
      <c r="J49" s="371">
        <f t="shared" ref="J49:J52" si="0">IF(K49="N/A","N/A",2)</f>
        <v>2</v>
      </c>
      <c r="K49" s="150">
        <f>IF(I49="N/A","N/A",VLOOKUP(I$1,'Scoring Calculator'!$A$3:$BD$11,COLUMN('Scoring Calculator'!BA1),FALSE))</f>
        <v>0.96</v>
      </c>
      <c r="M49" s="96"/>
    </row>
    <row r="50" spans="1:13" ht="40.5" customHeight="1" x14ac:dyDescent="0.25">
      <c r="A50" s="96"/>
      <c r="B50" s="56">
        <v>22</v>
      </c>
      <c r="C50" s="660" t="s">
        <v>351</v>
      </c>
      <c r="D50" s="661"/>
      <c r="E50" s="661"/>
      <c r="F50" s="661"/>
      <c r="G50" s="662"/>
      <c r="H50" s="732"/>
      <c r="I50" s="370">
        <f>VLOOKUP(I$1,'Scoring Calculator'!$A$3:$BD$11,COLUMN('Scoring Calculator'!AC1),FALSE)</f>
        <v>0.44</v>
      </c>
      <c r="J50" s="371">
        <f t="shared" si="0"/>
        <v>2</v>
      </c>
      <c r="K50" s="150">
        <f>IF(I50="N/A","N/A",VLOOKUP(I$1,'Scoring Calculator'!$A$3:$BD$11,COLUMN('Scoring Calculator'!BB1),FALSE))</f>
        <v>0.88</v>
      </c>
      <c r="M50" s="96"/>
    </row>
    <row r="51" spans="1:13" ht="40.5" customHeight="1" x14ac:dyDescent="0.25">
      <c r="A51" s="96"/>
      <c r="B51" s="56">
        <v>23</v>
      </c>
      <c r="C51" s="660" t="s">
        <v>472</v>
      </c>
      <c r="D51" s="661"/>
      <c r="E51" s="661"/>
      <c r="F51" s="661"/>
      <c r="G51" s="662"/>
      <c r="H51" s="732"/>
      <c r="I51" s="370">
        <f>VLOOKUP(I$1,'Scoring Calculator'!$A$3:$BD$11,COLUMN('Scoring Calculator'!AD1),FALSE)</f>
        <v>0.20161290322580644</v>
      </c>
      <c r="J51" s="371">
        <f t="shared" si="0"/>
        <v>2</v>
      </c>
      <c r="K51" s="150">
        <f>IF(I51="N/A","N/A",VLOOKUP(I$1,'Scoring Calculator'!$A$3:$BD$11,COLUMN('Scoring Calculator'!BC1),FALSE))</f>
        <v>0.40322580645161288</v>
      </c>
      <c r="M51" s="96"/>
    </row>
    <row r="52" spans="1:13" ht="40.5" customHeight="1" x14ac:dyDescent="0.25">
      <c r="A52" s="96"/>
      <c r="B52" s="56">
        <v>24</v>
      </c>
      <c r="C52" s="734" t="s">
        <v>473</v>
      </c>
      <c r="D52" s="735"/>
      <c r="E52" s="735"/>
      <c r="F52" s="735"/>
      <c r="G52" s="736"/>
      <c r="H52" s="733"/>
      <c r="I52" s="370">
        <f>VLOOKUP(I$1,'Scoring Calculator'!$A$3:$BD$11,COLUMN('Scoring Calculator'!AE1),FALSE)</f>
        <v>0.10483870967741936</v>
      </c>
      <c r="J52" s="371">
        <f t="shared" si="0"/>
        <v>2</v>
      </c>
      <c r="K52" s="150">
        <f>IF(I52="N/A","N/A",VLOOKUP(I$1,'Scoring Calculator'!$A$3:$BD$11,COLUMN('Scoring Calculator'!BD1),FALSE))</f>
        <v>0.20967741935483872</v>
      </c>
      <c r="M52" s="96"/>
    </row>
    <row r="53" spans="1:13" x14ac:dyDescent="0.25">
      <c r="A53" s="96"/>
      <c r="B53" s="56"/>
      <c r="C53" s="669" t="s">
        <v>363</v>
      </c>
      <c r="D53" s="670"/>
      <c r="E53" s="670"/>
      <c r="F53" s="670"/>
      <c r="G53" s="671"/>
      <c r="H53" s="740"/>
      <c r="I53" s="741"/>
      <c r="J53" s="153">
        <f>SUM(J48:J52)</f>
        <v>10</v>
      </c>
      <c r="K53" s="201">
        <f>SUM(K48:K52)</f>
        <v>3.4045161290322579</v>
      </c>
      <c r="M53" s="96"/>
    </row>
    <row r="54" spans="1:13" ht="29.1" customHeight="1" x14ac:dyDescent="0.25">
      <c r="A54" s="96"/>
      <c r="B54" s="56"/>
      <c r="C54" s="758" t="s">
        <v>72</v>
      </c>
      <c r="D54" s="759"/>
      <c r="E54" s="759"/>
      <c r="F54" s="759"/>
      <c r="G54" s="759"/>
      <c r="H54" s="759"/>
      <c r="I54" s="759"/>
      <c r="J54" s="759"/>
      <c r="K54" s="760"/>
      <c r="M54" s="96"/>
    </row>
    <row r="55" spans="1:13" ht="15" customHeight="1" x14ac:dyDescent="0.25">
      <c r="A55" s="96"/>
      <c r="B55" s="56"/>
      <c r="C55" s="737" t="s">
        <v>447</v>
      </c>
      <c r="D55" s="738"/>
      <c r="E55" s="738"/>
      <c r="F55" s="738"/>
      <c r="G55" s="738"/>
      <c r="H55" s="738"/>
      <c r="I55" s="739"/>
      <c r="J55" s="151">
        <f>J46</f>
        <v>100</v>
      </c>
      <c r="K55" s="204">
        <f>K46</f>
        <v>53</v>
      </c>
      <c r="M55" s="96"/>
    </row>
    <row r="56" spans="1:13" x14ac:dyDescent="0.25">
      <c r="A56" s="96"/>
      <c r="B56" s="56"/>
      <c r="C56" s="737" t="s">
        <v>404</v>
      </c>
      <c r="D56" s="738"/>
      <c r="E56" s="738"/>
      <c r="F56" s="738"/>
      <c r="G56" s="738"/>
      <c r="H56" s="738"/>
      <c r="I56" s="739"/>
      <c r="J56" s="202">
        <f>J53</f>
        <v>10</v>
      </c>
      <c r="K56" s="203">
        <f>K53</f>
        <v>3.4045161290322579</v>
      </c>
      <c r="M56" s="96"/>
    </row>
    <row r="57" spans="1:13" ht="47.25" customHeight="1" x14ac:dyDescent="0.25">
      <c r="A57" s="96"/>
      <c r="B57" s="56"/>
      <c r="C57" s="654" t="s">
        <v>549</v>
      </c>
      <c r="D57" s="655"/>
      <c r="E57" s="655"/>
      <c r="F57" s="655"/>
      <c r="G57" s="656"/>
      <c r="H57" s="757" t="s">
        <v>446</v>
      </c>
      <c r="I57" s="757"/>
      <c r="J57" s="757"/>
      <c r="K57" s="205">
        <f>(((K55/J55)*100)+K56)</f>
        <v>56.40451612903226</v>
      </c>
      <c r="M57" s="96"/>
    </row>
    <row r="58" spans="1:13" x14ac:dyDescent="0.25">
      <c r="A58" s="96"/>
      <c r="C58" s="117"/>
      <c r="D58" s="117"/>
      <c r="E58" s="117"/>
      <c r="F58" s="117"/>
      <c r="G58" s="117"/>
      <c r="H58" s="118"/>
      <c r="I58" s="118"/>
      <c r="J58" s="118"/>
      <c r="K58" s="118"/>
      <c r="M58" s="96"/>
    </row>
    <row r="59" spans="1:13" x14ac:dyDescent="0.25">
      <c r="A59" s="96"/>
      <c r="B59" s="102"/>
      <c r="C59" s="110"/>
      <c r="D59" s="110"/>
      <c r="E59" s="110"/>
      <c r="F59" s="110"/>
      <c r="G59" s="110"/>
      <c r="H59" s="111"/>
      <c r="I59" s="111"/>
      <c r="J59" s="111"/>
      <c r="K59" s="111"/>
      <c r="L59" s="96"/>
      <c r="M59" s="96"/>
    </row>
    <row r="61" spans="1:13" ht="23.25" customHeight="1" x14ac:dyDescent="0.25"/>
    <row r="62" spans="1:13" ht="23.25" customHeight="1" x14ac:dyDescent="0.25"/>
    <row r="63" spans="1:13" ht="23.25" customHeight="1" x14ac:dyDescent="0.25"/>
    <row r="65" ht="15.75" customHeight="1" x14ac:dyDescent="0.25"/>
    <row r="66" ht="15.75" customHeight="1" x14ac:dyDescent="0.25"/>
    <row r="67" ht="15.75" customHeight="1" x14ac:dyDescent="0.25"/>
  </sheetData>
  <mergeCells count="58">
    <mergeCell ref="C41:G41"/>
    <mergeCell ref="C45:G45"/>
    <mergeCell ref="C52:G52"/>
    <mergeCell ref="H48:H52"/>
    <mergeCell ref="C56:I56"/>
    <mergeCell ref="C43:K43"/>
    <mergeCell ref="C44:G44"/>
    <mergeCell ref="H45:I45"/>
    <mergeCell ref="C49:G49"/>
    <mergeCell ref="H42:I42"/>
    <mergeCell ref="C47:K47"/>
    <mergeCell ref="C48:G48"/>
    <mergeCell ref="C46:I46"/>
    <mergeCell ref="C42:G42"/>
    <mergeCell ref="H57:J57"/>
    <mergeCell ref="C54:K54"/>
    <mergeCell ref="C50:G50"/>
    <mergeCell ref="C55:I55"/>
    <mergeCell ref="C57:G57"/>
    <mergeCell ref="C53:G53"/>
    <mergeCell ref="H53:I53"/>
    <mergeCell ref="C51:G51"/>
    <mergeCell ref="C21:K21"/>
    <mergeCell ref="C22:G22"/>
    <mergeCell ref="C15:K15"/>
    <mergeCell ref="C16:K16"/>
    <mergeCell ref="C17:G17"/>
    <mergeCell ref="C18:G18"/>
    <mergeCell ref="C19:K19"/>
    <mergeCell ref="C20:G20"/>
    <mergeCell ref="C3:K3"/>
    <mergeCell ref="C12:G14"/>
    <mergeCell ref="H12:H13"/>
    <mergeCell ref="I12:I14"/>
    <mergeCell ref="J12:J14"/>
    <mergeCell ref="K12:K14"/>
    <mergeCell ref="J7:K7"/>
    <mergeCell ref="J5:K5"/>
    <mergeCell ref="C23:K23"/>
    <mergeCell ref="C24:G24"/>
    <mergeCell ref="C25:G25"/>
    <mergeCell ref="C27:G27"/>
    <mergeCell ref="C30:K30"/>
    <mergeCell ref="C26:G26"/>
    <mergeCell ref="C28:K28"/>
    <mergeCell ref="C29:G29"/>
    <mergeCell ref="C31:G31"/>
    <mergeCell ref="C32:G32"/>
    <mergeCell ref="C35:K35"/>
    <mergeCell ref="C36:G36"/>
    <mergeCell ref="C37:G37"/>
    <mergeCell ref="H37:I37"/>
    <mergeCell ref="C33:G33"/>
    <mergeCell ref="C40:G40"/>
    <mergeCell ref="C34:G34"/>
    <mergeCell ref="H34:I34"/>
    <mergeCell ref="C38:K38"/>
    <mergeCell ref="C39:G39"/>
  </mergeCells>
  <printOptions verticalCentered="1"/>
  <pageMargins left="0.25" right="0.25" top="0.25" bottom="0.25" header="0.3" footer="0.3"/>
  <pageSetup scale="58" orientation="portrait"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35E072A-7249-4E4B-B386-D4A6774CA114}">
          <x14:formula1>
            <xm:f>'vlookup- do not delete'!$A$2:$A$8</xm:f>
          </x14:formula1>
          <xm:sqref>I1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10"/>
  <sheetViews>
    <sheetView zoomScaleNormal="100" workbookViewId="0">
      <selection activeCell="A2" sqref="A2"/>
    </sheetView>
  </sheetViews>
  <sheetFormatPr defaultColWidth="8.7109375" defaultRowHeight="15" x14ac:dyDescent="0.25"/>
  <cols>
    <col min="1" max="1" width="12.5703125" style="56" bestFit="1" customWidth="1"/>
    <col min="2" max="2" width="12.5703125" style="98" bestFit="1" customWidth="1"/>
    <col min="3" max="3" width="14.140625" style="95" customWidth="1"/>
    <col min="4" max="4" width="10.7109375" style="95" customWidth="1"/>
    <col min="5" max="5" width="17" style="95" customWidth="1"/>
    <col min="6" max="6" width="13.42578125" style="95" customWidth="1"/>
    <col min="7" max="7" width="14.28515625" style="98" customWidth="1"/>
    <col min="8" max="8" width="12.140625" style="95" customWidth="1"/>
    <col min="9" max="16384" width="8.7109375" style="95"/>
  </cols>
  <sheetData>
    <row r="1" spans="1:9" ht="21.6" customHeight="1" thickBot="1" x14ac:dyDescent="0.3">
      <c r="A1" s="889" t="s">
        <v>645</v>
      </c>
      <c r="B1" s="890"/>
      <c r="C1" s="890"/>
      <c r="D1" s="890"/>
      <c r="E1" s="890"/>
      <c r="F1" s="890"/>
      <c r="G1" s="890"/>
      <c r="H1" s="890"/>
      <c r="I1" s="890"/>
    </row>
    <row r="2" spans="1:9" s="108" customFormat="1" ht="46.5" customHeight="1" thickBot="1" x14ac:dyDescent="0.3">
      <c r="A2" s="891" t="s">
        <v>132</v>
      </c>
      <c r="B2" s="891" t="s">
        <v>81</v>
      </c>
      <c r="C2" s="891" t="s">
        <v>134</v>
      </c>
      <c r="D2" s="892" t="s">
        <v>646</v>
      </c>
      <c r="E2" s="891" t="s">
        <v>647</v>
      </c>
      <c r="F2" s="893" t="s">
        <v>648</v>
      </c>
      <c r="G2" s="894" t="s">
        <v>649</v>
      </c>
      <c r="H2" s="895" t="s">
        <v>650</v>
      </c>
      <c r="I2" s="896" t="s">
        <v>651</v>
      </c>
    </row>
    <row r="3" spans="1:9" ht="15.75" thickBot="1" x14ac:dyDescent="0.3">
      <c r="A3" s="897"/>
      <c r="B3" s="898"/>
      <c r="C3" s="899"/>
      <c r="D3" s="900"/>
      <c r="E3" s="901"/>
      <c r="F3" s="901"/>
      <c r="G3" s="901"/>
      <c r="H3" s="902"/>
      <c r="I3" s="903"/>
    </row>
    <row r="4" spans="1:9" x14ac:dyDescent="0.25">
      <c r="A4" s="904"/>
      <c r="B4" s="904"/>
      <c r="C4" s="905"/>
      <c r="D4" s="906"/>
      <c r="E4" s="907"/>
      <c r="F4" s="907"/>
      <c r="G4" s="908"/>
      <c r="H4" s="909"/>
      <c r="I4" s="910"/>
    </row>
    <row r="5" spans="1:9" x14ac:dyDescent="0.25">
      <c r="A5" s="911"/>
      <c r="B5" s="912"/>
      <c r="C5" s="912"/>
      <c r="D5" s="913"/>
      <c r="E5" s="914"/>
      <c r="F5" s="914"/>
      <c r="G5" s="915"/>
      <c r="H5" s="916"/>
      <c r="I5" s="917"/>
    </row>
    <row r="6" spans="1:9" x14ac:dyDescent="0.25">
      <c r="A6" s="911"/>
      <c r="B6" s="912"/>
      <c r="C6" s="912"/>
      <c r="D6" s="913"/>
      <c r="E6" s="914"/>
      <c r="F6" s="914"/>
      <c r="G6" s="915"/>
      <c r="H6" s="916"/>
      <c r="I6" s="917"/>
    </row>
    <row r="7" spans="1:9" x14ac:dyDescent="0.25">
      <c r="A7" s="911"/>
      <c r="B7" s="911"/>
      <c r="C7" s="912"/>
      <c r="D7" s="913"/>
      <c r="E7" s="914"/>
      <c r="F7" s="914"/>
      <c r="G7" s="915"/>
      <c r="H7" s="916"/>
      <c r="I7" s="917"/>
    </row>
    <row r="8" spans="1:9" x14ac:dyDescent="0.25">
      <c r="A8" s="911"/>
      <c r="B8" s="911"/>
      <c r="C8" s="912"/>
      <c r="D8" s="913"/>
      <c r="E8" s="914"/>
      <c r="F8" s="914"/>
      <c r="G8" s="915"/>
      <c r="H8" s="916"/>
      <c r="I8" s="910"/>
    </row>
    <row r="9" spans="1:9" x14ac:dyDescent="0.25">
      <c r="A9" s="918" t="s">
        <v>652</v>
      </c>
      <c r="B9" s="918" t="s">
        <v>652</v>
      </c>
      <c r="C9" s="912"/>
      <c r="D9" s="913"/>
      <c r="E9" s="919" t="s">
        <v>17</v>
      </c>
      <c r="F9" s="919" t="s">
        <v>17</v>
      </c>
      <c r="G9" s="919" t="s">
        <v>17</v>
      </c>
      <c r="H9" s="919" t="s">
        <v>17</v>
      </c>
      <c r="I9" s="919" t="s">
        <v>17</v>
      </c>
    </row>
    <row r="10" spans="1:9" x14ac:dyDescent="0.25">
      <c r="A10" s="918" t="s">
        <v>653</v>
      </c>
      <c r="B10" s="918" t="s">
        <v>653</v>
      </c>
      <c r="C10" s="912"/>
      <c r="D10" s="913"/>
      <c r="E10" s="915" t="s">
        <v>17</v>
      </c>
      <c r="F10" s="915" t="s">
        <v>17</v>
      </c>
      <c r="G10" s="915" t="s">
        <v>17</v>
      </c>
      <c r="H10" s="915" t="s">
        <v>17</v>
      </c>
      <c r="I10" s="915" t="s">
        <v>17</v>
      </c>
    </row>
  </sheetData>
  <mergeCells count="1">
    <mergeCell ref="A1:I1"/>
  </mergeCells>
  <conditionalFormatting sqref="A4:B4 A5:A6 A7:B10">
    <cfRule type="expression" dxfId="12" priority="1">
      <formula>(#REF!&gt;1)</formula>
    </cfRule>
  </conditionalFormatting>
  <dataValidations count="1">
    <dataValidation type="list" allowBlank="1" showInputMessage="1" showErrorMessage="1" sqref="C3:C7" xr:uid="{6EA4F289-1221-47CA-BF77-8109627DCCDA}">
      <formula1>"PH, TH, Joint TH &amp; PH-RRH, HMIS, SSO, TRA, PRA, SRA, S+C/SRO"</formula1>
    </dataValidation>
  </dataValidations>
  <pageMargins left="0.25" right="0.25" top="0.75" bottom="0.75" header="0.3" footer="0.3"/>
  <pageSetup scale="68" orientation="landscape"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1BBD-F094-44A5-87B6-1F25D266CE4C}">
  <sheetPr>
    <tabColor theme="7" tint="0.39997558519241921"/>
  </sheetPr>
  <dimension ref="A2:BD11"/>
  <sheetViews>
    <sheetView workbookViewId="0"/>
  </sheetViews>
  <sheetFormatPr defaultColWidth="8.7109375" defaultRowHeight="15" x14ac:dyDescent="0.25"/>
  <cols>
    <col min="1" max="1" width="9.140625" style="98" customWidth="1"/>
    <col min="2" max="2" width="11.42578125" style="98" customWidth="1"/>
    <col min="3" max="3" width="8.7109375" style="98"/>
    <col min="4" max="4" width="13.5703125" style="98" customWidth="1"/>
    <col min="5" max="5" width="14.140625" style="98" customWidth="1"/>
    <col min="6" max="6" width="23.42578125" style="98" customWidth="1"/>
    <col min="7" max="7" width="35.85546875" style="109" customWidth="1"/>
    <col min="8" max="8" width="10.140625" style="98" customWidth="1"/>
    <col min="9" max="12" width="8.7109375" style="98"/>
    <col min="13" max="14" width="8.85546875" style="98"/>
    <col min="15" max="16" width="8.7109375" style="98"/>
    <col min="17" max="17" width="8.85546875" style="98"/>
    <col min="18" max="19" width="8.7109375" style="98"/>
    <col min="20" max="20" width="8.85546875" style="98"/>
    <col min="21" max="21" width="12" style="98" customWidth="1"/>
    <col min="22" max="22" width="11.7109375" style="98" customWidth="1"/>
    <col min="23" max="24" width="8.85546875" style="98"/>
    <col min="25" max="25" width="8.7109375" style="98"/>
    <col min="26" max="26" width="8.85546875" style="98"/>
    <col min="27" max="28" width="8.7109375" style="98"/>
    <col min="29" max="29" width="13.28515625" style="98" customWidth="1"/>
    <col min="30" max="30" width="9.42578125" style="98" bestFit="1" customWidth="1"/>
    <col min="31" max="31" width="9.42578125" style="98" customWidth="1"/>
    <col min="32" max="32" width="5" style="98" customWidth="1"/>
    <col min="33" max="36" width="8.7109375" style="98"/>
    <col min="37" max="37" width="8" style="98" customWidth="1"/>
    <col min="38" max="45" width="8.7109375" style="98"/>
    <col min="46" max="46" width="12.5703125" style="98" customWidth="1"/>
    <col min="47" max="51" width="8.7109375" style="98"/>
    <col min="52" max="52" width="11.5703125" style="98" bestFit="1" customWidth="1"/>
    <col min="53" max="53" width="8.7109375" style="98"/>
    <col min="54" max="55" width="14.42578125" style="98" customWidth="1"/>
    <col min="56" max="56" width="12" style="98" customWidth="1"/>
    <col min="57" max="16384" width="8.7109375" style="98"/>
  </cols>
  <sheetData>
    <row r="2" spans="1:56" x14ac:dyDescent="0.25">
      <c r="H2" s="770" t="s">
        <v>359</v>
      </c>
      <c r="I2" s="771"/>
      <c r="J2" s="771"/>
      <c r="K2" s="771"/>
      <c r="L2" s="771"/>
      <c r="M2" s="771"/>
      <c r="N2" s="771"/>
      <c r="O2" s="771"/>
      <c r="P2" s="771"/>
      <c r="Q2" s="771"/>
      <c r="R2" s="771"/>
      <c r="S2" s="771"/>
      <c r="T2" s="771"/>
      <c r="U2" s="772"/>
      <c r="V2" s="771"/>
      <c r="W2" s="771"/>
      <c r="X2" s="771"/>
      <c r="Y2" s="773"/>
      <c r="Z2" s="771"/>
      <c r="AA2" s="771"/>
      <c r="AB2" s="771"/>
      <c r="AC2" s="771"/>
      <c r="AD2" s="771"/>
      <c r="AE2" s="773"/>
      <c r="AF2" s="218"/>
      <c r="AG2" s="774" t="s">
        <v>282</v>
      </c>
      <c r="AH2" s="775"/>
      <c r="AI2" s="775"/>
      <c r="AJ2" s="775"/>
      <c r="AK2" s="775"/>
      <c r="AL2" s="775"/>
      <c r="AM2" s="775"/>
      <c r="AN2" s="775"/>
      <c r="AO2" s="775"/>
      <c r="AP2" s="775"/>
      <c r="AQ2" s="775"/>
      <c r="AR2" s="775"/>
      <c r="AS2" s="775"/>
      <c r="AT2" s="776"/>
      <c r="AU2" s="775"/>
      <c r="AV2" s="775"/>
      <c r="AW2" s="775"/>
      <c r="AX2" s="775"/>
      <c r="AY2" s="775"/>
      <c r="AZ2" s="775"/>
      <c r="BA2" s="775"/>
      <c r="BB2" s="775"/>
      <c r="BC2" s="775"/>
      <c r="BD2" s="775"/>
    </row>
    <row r="3" spans="1:56" s="15" customFormat="1" ht="96.95" customHeight="1" x14ac:dyDescent="0.25">
      <c r="A3" s="243"/>
      <c r="B3" s="243"/>
      <c r="C3" s="243"/>
      <c r="D3" s="243"/>
      <c r="E3" s="243"/>
      <c r="F3" s="243"/>
      <c r="G3" s="243"/>
      <c r="H3" s="244" t="s">
        <v>274</v>
      </c>
      <c r="I3" s="244" t="s">
        <v>272</v>
      </c>
      <c r="J3" s="244" t="s">
        <v>498</v>
      </c>
      <c r="K3" s="244" t="s">
        <v>479</v>
      </c>
      <c r="L3" s="245" t="s">
        <v>443</v>
      </c>
      <c r="M3" s="244" t="s">
        <v>275</v>
      </c>
      <c r="N3" s="244" t="s">
        <v>276</v>
      </c>
      <c r="O3" s="244" t="s">
        <v>622</v>
      </c>
      <c r="P3" s="244" t="s">
        <v>277</v>
      </c>
      <c r="Q3" s="244" t="s">
        <v>278</v>
      </c>
      <c r="R3" s="244" t="s">
        <v>279</v>
      </c>
      <c r="S3" s="244" t="s">
        <v>280</v>
      </c>
      <c r="T3" s="244" t="s">
        <v>281</v>
      </c>
      <c r="U3" s="505" t="s">
        <v>620</v>
      </c>
      <c r="V3" s="244" t="s">
        <v>413</v>
      </c>
      <c r="W3" s="244" t="s">
        <v>120</v>
      </c>
      <c r="X3" s="244" t="s">
        <v>123</v>
      </c>
      <c r="Y3" s="244" t="s">
        <v>480</v>
      </c>
      <c r="Z3" s="244" t="s">
        <v>621</v>
      </c>
      <c r="AA3" s="244" t="s">
        <v>481</v>
      </c>
      <c r="AB3" s="245" t="s">
        <v>414</v>
      </c>
      <c r="AC3" s="245" t="s">
        <v>415</v>
      </c>
      <c r="AD3" s="245" t="s">
        <v>482</v>
      </c>
      <c r="AE3" s="330" t="s">
        <v>483</v>
      </c>
      <c r="AF3" s="246"/>
      <c r="AG3" s="247" t="s">
        <v>274</v>
      </c>
      <c r="AH3" s="247" t="s">
        <v>272</v>
      </c>
      <c r="AI3" s="247" t="s">
        <v>498</v>
      </c>
      <c r="AJ3" s="247" t="s">
        <v>479</v>
      </c>
      <c r="AK3" s="248" t="s">
        <v>443</v>
      </c>
      <c r="AL3" s="247" t="s">
        <v>275</v>
      </c>
      <c r="AM3" s="247" t="s">
        <v>276</v>
      </c>
      <c r="AN3" s="247" t="s">
        <v>622</v>
      </c>
      <c r="AO3" s="247" t="s">
        <v>277</v>
      </c>
      <c r="AP3" s="247" t="s">
        <v>278</v>
      </c>
      <c r="AQ3" s="247" t="s">
        <v>279</v>
      </c>
      <c r="AR3" s="247" t="s">
        <v>280</v>
      </c>
      <c r="AS3" s="247" t="s">
        <v>281</v>
      </c>
      <c r="AT3" s="509" t="s">
        <v>620</v>
      </c>
      <c r="AU3" s="247" t="s">
        <v>413</v>
      </c>
      <c r="AV3" s="247" t="s">
        <v>120</v>
      </c>
      <c r="AW3" s="247" t="s">
        <v>123</v>
      </c>
      <c r="AX3" s="334" t="s">
        <v>480</v>
      </c>
      <c r="AY3" s="247" t="s">
        <v>621</v>
      </c>
      <c r="AZ3" s="247" t="s">
        <v>481</v>
      </c>
      <c r="BA3" s="247" t="s">
        <v>414</v>
      </c>
      <c r="BB3" s="247" t="s">
        <v>415</v>
      </c>
      <c r="BC3" s="334" t="s">
        <v>482</v>
      </c>
      <c r="BD3" s="247" t="s">
        <v>483</v>
      </c>
    </row>
    <row r="4" spans="1:56" s="219" customFormat="1" ht="25.5" x14ac:dyDescent="0.25">
      <c r="A4" s="236" t="s">
        <v>132</v>
      </c>
      <c r="B4" s="237" t="s">
        <v>133</v>
      </c>
      <c r="C4" s="237" t="s">
        <v>134</v>
      </c>
      <c r="D4" s="238" t="s">
        <v>361</v>
      </c>
      <c r="E4" s="237" t="s">
        <v>135</v>
      </c>
      <c r="F4" s="237" t="s">
        <v>81</v>
      </c>
      <c r="G4" s="239" t="s">
        <v>273</v>
      </c>
      <c r="H4" s="220">
        <v>1</v>
      </c>
      <c r="I4" s="220">
        <v>2</v>
      </c>
      <c r="J4" s="220">
        <v>3</v>
      </c>
      <c r="K4" s="220">
        <v>4</v>
      </c>
      <c r="L4" s="220">
        <v>5</v>
      </c>
      <c r="M4" s="220">
        <v>6</v>
      </c>
      <c r="N4" s="220">
        <v>7</v>
      </c>
      <c r="O4" s="220">
        <v>8</v>
      </c>
      <c r="P4" s="220">
        <v>9</v>
      </c>
      <c r="Q4" s="220">
        <v>10</v>
      </c>
      <c r="R4" s="220">
        <v>11</v>
      </c>
      <c r="S4" s="220">
        <v>12</v>
      </c>
      <c r="T4" s="220">
        <v>13</v>
      </c>
      <c r="U4" s="506">
        <v>14</v>
      </c>
      <c r="V4" s="220">
        <v>15</v>
      </c>
      <c r="W4" s="220">
        <v>16</v>
      </c>
      <c r="X4" s="331">
        <v>17</v>
      </c>
      <c r="Y4" s="220">
        <v>18</v>
      </c>
      <c r="Z4" s="331">
        <v>19</v>
      </c>
      <c r="AA4" s="220">
        <v>20</v>
      </c>
      <c r="AB4" s="221">
        <v>21</v>
      </c>
      <c r="AC4" s="221">
        <v>22</v>
      </c>
      <c r="AD4" s="221">
        <v>23</v>
      </c>
      <c r="AE4" s="331">
        <v>24</v>
      </c>
      <c r="AF4" s="222"/>
      <c r="AG4" s="223">
        <v>1</v>
      </c>
      <c r="AH4" s="223">
        <v>2</v>
      </c>
      <c r="AI4" s="223">
        <v>3</v>
      </c>
      <c r="AJ4" s="223">
        <v>4</v>
      </c>
      <c r="AK4" s="224">
        <v>5</v>
      </c>
      <c r="AL4" s="223">
        <v>6</v>
      </c>
      <c r="AM4" s="223">
        <v>7</v>
      </c>
      <c r="AN4" s="223">
        <v>8</v>
      </c>
      <c r="AO4" s="223">
        <v>9</v>
      </c>
      <c r="AP4" s="223">
        <v>10</v>
      </c>
      <c r="AQ4" s="223">
        <v>11</v>
      </c>
      <c r="AR4" s="223">
        <v>12</v>
      </c>
      <c r="AS4" s="223">
        <v>13</v>
      </c>
      <c r="AT4" s="223">
        <v>14</v>
      </c>
      <c r="AU4" s="223">
        <v>15</v>
      </c>
      <c r="AV4" s="223">
        <v>16</v>
      </c>
      <c r="AW4" s="335">
        <v>17</v>
      </c>
      <c r="AX4" s="223">
        <v>18</v>
      </c>
      <c r="AY4" s="335">
        <v>19</v>
      </c>
      <c r="AZ4" s="223">
        <v>20</v>
      </c>
      <c r="BA4" s="223">
        <v>21</v>
      </c>
      <c r="BB4" s="223">
        <v>22</v>
      </c>
      <c r="BC4" s="335">
        <v>23</v>
      </c>
      <c r="BD4" s="223">
        <v>24</v>
      </c>
    </row>
    <row r="5" spans="1:56" s="219" customFormat="1" ht="38.25" x14ac:dyDescent="0.25">
      <c r="A5" s="337" t="s">
        <v>499</v>
      </c>
      <c r="B5" s="337" t="s">
        <v>285</v>
      </c>
      <c r="C5" s="338" t="s">
        <v>6</v>
      </c>
      <c r="D5" s="346" t="str">
        <f>'Raw Project Data'!G4</f>
        <v>Tenant-Based</v>
      </c>
      <c r="E5" s="337" t="s">
        <v>303</v>
      </c>
      <c r="F5" s="337" t="s">
        <v>501</v>
      </c>
      <c r="G5" s="339" t="s">
        <v>451</v>
      </c>
      <c r="H5" s="347">
        <f>IF('Raw Project Data'!N4="N/A","N/A",('Raw Project Data'!N4/'Raw Project Data'!O4))</f>
        <v>1</v>
      </c>
      <c r="I5" s="347">
        <f>AVERAGE('Raw Project Data'!AJ4:AM4)/'Raw Project Data'!H4</f>
        <v>0.96875</v>
      </c>
      <c r="J5" s="347">
        <f>'Raw Project Data'!BD4/('Raw Project Data'!BF4-'Raw Project Data'!BE4)</f>
        <v>0.76190476190476186</v>
      </c>
      <c r="K5" s="347">
        <f>IF('Raw Project Data'!C4="RRH","N/A",('Raw Project Data'!CO4/('Raw Project Data'!CQ4-'Raw Project Data'!CP4)))</f>
        <v>0.7</v>
      </c>
      <c r="L5" s="348">
        <f>'Raw Project Data'!CF4</f>
        <v>5.14</v>
      </c>
      <c r="M5" s="347">
        <f>(('Raw Project Data'!BP4+'Raw Project Data'!BR4)/('Raw Project Data'!BJ4+'Raw Project Data'!BK4-'Raw Project Data'!BI4-'Raw Project Data'!BG4-'Raw Project Data'!BH4))</f>
        <v>0.33333333333333331</v>
      </c>
      <c r="N5" s="347">
        <f>(('Raw Project Data'!BQ4+'Raw Project Data'!BS4)/('Raw Project Data'!BJ4+'Raw Project Data'!BK4-'Raw Project Data'!BI4-'Raw Project Data'!BG4-'Raw Project Data'!BH4))</f>
        <v>0.33333333333333331</v>
      </c>
      <c r="O5" s="347">
        <f>('Raw Project Data'!BL4+'Raw Project Data'!BM4+'Raw Project Data'!BN4+'Raw Project Data'!BO4)/('Raw Project Data'!BJ4+'Raw Project Data'!BK4-'Raw Project Data'!BI4-'Raw Project Data'!BG4-'Raw Project Data'!BH4)</f>
        <v>0.77777777777777779</v>
      </c>
      <c r="P5" s="347">
        <f>(('Raw Project Data'!BT4+'Raw Project Data'!BU4)/('Raw Project Data'!BX4+'Raw Project Data'!BY4-'Raw Project Data'!BI4-'Raw Project Data'!BV4-'Raw Project Data'!BW4))</f>
        <v>0.83333333333333337</v>
      </c>
      <c r="Q5" s="349" t="str">
        <f>(IF('Raw Project Data'!C4="PSH","N/A",('Raw Project Data'!BZ4+'Raw Project Data'!CA4+'Raw Project Data'!CB4+'Raw Project Data'!CC4)/'Raw Project Data'!CD4))</f>
        <v>N/A</v>
      </c>
      <c r="R5" s="347">
        <f>IF('Raw Project Data'!C4="RRH","N/A",(('Raw Project Data'!CE4+'Raw Project Data'!CL4)/(('Raw Project Data'!CK4+'Raw Project Data'!CE4)-'Raw Project Data'!CM4)))</f>
        <v>0.91666666666666663</v>
      </c>
      <c r="S5" s="350" t="str">
        <f>IF('Raw Project Data'!C4="PSH","N/A",IF('Raw Project Data'!CK4=0,"No Exits",'Raw Project Data'!CN4))</f>
        <v>N/A</v>
      </c>
      <c r="T5" s="347">
        <f>IF('Raw Project Data'!CK4=0,"No Exits",(('Raw Project Data'!CG4+'Raw Project Data'!CH4+'Raw Project Data'!CJ4)/('Raw Project Data'!CK4)))</f>
        <v>0.125</v>
      </c>
      <c r="U5" s="507">
        <f>IF('Raw Project Data'!Q4=0,"No Exits",('Raw Project Data'!P4/('Raw Project Data'!R4+'Raw Project Data'!S4+'Raw Project Data'!T4+'Raw Project Data'!U4)))</f>
        <v>0.16666666666666666</v>
      </c>
      <c r="V5" s="347">
        <f>IF(('Raw Project Data'!AB4+'Raw Project Data'!AC4+'Raw Project Data'!AD4+'Raw Project Data'!AE4+'Raw Project Data'!AF4)=0,"No Entries",(('Raw Project Data'!AA4+'Raw Project Data'!AB4+'Raw Project Data'!AC4)/('Raw Project Data'!AA4+'Raw Project Data'!AB4+'Raw Project Data'!AC4+'Raw Project Data'!AD4+'Raw Project Data'!AE4+'Raw Project Data'!AF4)))</f>
        <v>0.14285714285714285</v>
      </c>
      <c r="W5" s="347">
        <f>'Raw Project Data'!J4</f>
        <v>0.25</v>
      </c>
      <c r="X5" s="351" t="str">
        <f>'Raw Project Data'!V4</f>
        <v>Yes</v>
      </c>
      <c r="Y5" s="352" t="str">
        <f>'Raw Project Data'!W4</f>
        <v>Yes</v>
      </c>
      <c r="Z5" s="520" t="str">
        <f>'Raw Project Data'!X4</f>
        <v>Yes</v>
      </c>
      <c r="AA5" s="347">
        <f>('Raw Project Data'!AR4+'Raw Project Data'!AS4+'Raw Project Data'!AT4+'Raw Project Data'!AU4)/('Raw Project Data'!AV4+'Raw Project Data'!AW4-'Raw Project Data'!AX4-'Raw Project Data'!AY4)</f>
        <v>0.66666666666666663</v>
      </c>
      <c r="AB5" s="354">
        <f>('Raw Project Data'!AZ4)/('Raw Project Data'!BB4-'Raw Project Data'!BA4)</f>
        <v>4.7619047619047616E-2</v>
      </c>
      <c r="AC5" s="354">
        <f>('Raw Project Data'!BC4)/('Raw Project Data'!BF4-'Raw Project Data'!BE4)</f>
        <v>4.7619047619047616E-2</v>
      </c>
      <c r="AD5" s="354">
        <f>'Raw Project Data'!AN4/('Raw Project Data'!Z4-'Raw Project Data'!AQ4)</f>
        <v>4.7619047619047616E-2</v>
      </c>
      <c r="AE5" s="353">
        <f>('Raw Project Data'!AO4+'Raw Project Data'!AP4)/('Raw Project Data'!Z4-'Raw Project Data'!AQ4)</f>
        <v>0.23809523809523808</v>
      </c>
      <c r="AF5" s="231"/>
      <c r="AG5" s="355">
        <f t="shared" ref="AG5:AG11" si="0">IF(H5="N/A","N/A",IF(H5&gt;=0.95,10,IF(H5&gt;=0.85,5,0)))</f>
        <v>10</v>
      </c>
      <c r="AH5" s="355">
        <f t="shared" ref="AH5:AH11" si="1">IF(I5="N/A","N/A",IF(I5&gt;=0.95,10,IF(I5&gt;=0.9,5,0)))</f>
        <v>10</v>
      </c>
      <c r="AI5" s="355">
        <f t="shared" ref="AI5:AI11" si="2">IF(J5="N/A","N/A",IF(J5=1,10,0))</f>
        <v>0</v>
      </c>
      <c r="AJ5" s="355">
        <f>IF(K5="N/A","N/A",IF(K5&gt;=0.95,5,IF(K5&gt;=0.85,3,IF(K5&gt;=0.75,1,0))))</f>
        <v>0</v>
      </c>
      <c r="AK5" s="356">
        <f>IF(L5="N/A","N/A",IF(D5="Tenant-Based",(IF(L5&lt;31,5,IF(L5&lt;61,3,IF(L5&lt;181,1,0)))),IF(D5="Site-Based",IF(L5&lt;15,5,IF(L5&lt;22,3,IF(L5&lt;61,1,0))))))</f>
        <v>5</v>
      </c>
      <c r="AL5" s="355">
        <f>IF(M5="N/A","N/A",IF('Raw Project Data'!C4="PSH",(IF(M5&gt;=0.15,10,IF(M5&gt;=0.1,6,IF(M5&gt;=0.05,3,0)))),(IF(M5&gt;=0.2,10,IF(M5&gt;=0.1,6,IF(M5&gt;=0.05,3,0))))))</f>
        <v>10</v>
      </c>
      <c r="AM5" s="355">
        <f>IF(N5="N/A","N/A",IF('Raw Project Data'!C4="PSH",(IF(N5&gt;=0.7,5,IF(N5&gt;=0.55,3,IF(N5&gt;=0.4,1,0)))),(IF(N5&gt;=0.15,5,IF(N5&gt;=0.1,3,IF(N5&gt;=0.05,1,0))))))</f>
        <v>0</v>
      </c>
      <c r="AN5" s="355">
        <f>IF(O5="N/A","N/A",IF('Raw Project Data'!C4="PSH",(IF(O5&gt;=0.15,5,IF(O5&gt;=0.1,3,IF(O5&gt;=0.05,1,0)))),(IF(O5&gt;=0.7,5,IF(O5&gt;=0.5,3,IF(O5&gt;=0.35,1,0))))))</f>
        <v>5</v>
      </c>
      <c r="AO5" s="355">
        <f>IF(P5="N/A","N/A",IF('Raw Project Data'!C4="PSH",(IF(P5&gt;=0.65,3,IF(P5&gt;=0.5,2,IF(P5&gt;=0.35,1,0)))),(IF(P5&gt;=0.55,3,IF(P5&gt;=0.4,2,IF(P5&gt;=0.25,1,0))))))</f>
        <v>3</v>
      </c>
      <c r="AP5" s="357" t="str">
        <f>IF(Q5="N/A","N/A",IF(Q5&gt;=0.5,5,IF(Q5&gt;=0.35,3,IF(Q5&gt;=0.25,1,0))))</f>
        <v>N/A</v>
      </c>
      <c r="AQ5" s="357">
        <f>IF(R5="N/A","N/A",IF(R5&gt;=0.85,5,IF(R5&gt;=0.65,3,IF(R5&gt;=0.45,1,0))))</f>
        <v>5</v>
      </c>
      <c r="AR5" s="357" t="str">
        <f>IF(S5="No Exits","N/A",IF(S5="N/A","N/A",IF(S5&gt;=0.85,5,IF(S5&gt;=0.65,3,IF(S5&gt;=0.45,1,0)))))</f>
        <v>N/A</v>
      </c>
      <c r="AS5" s="357">
        <f>IF(T5="No Exits","N/A",IF(T5="N/A","N/A",IF(T5&lt;=0.05,5,0)))</f>
        <v>0</v>
      </c>
      <c r="AT5" s="357">
        <f>IF(U5="No Exits","N/A",IF(U5="N/A","N/A",IF(U5&lt;0.15,10,IF(U5&lt;0.2,5,IF(U5&lt;0.25,3,0)))))</f>
        <v>5</v>
      </c>
      <c r="AU5" s="357">
        <f t="shared" ref="AU5:AU11" si="3">IF(V5="No Entries","N/A",IF(V5="N/A","N/A",IF(V5&gt;=0.75,2,IF(V5&gt;=0.5,1,0))))</f>
        <v>0</v>
      </c>
      <c r="AV5" s="357">
        <f t="shared" ref="AV5:AV11" si="4">IF(W5="N/A","N/A",IF(W5&gt;=0.25,5,0))</f>
        <v>5</v>
      </c>
      <c r="AW5" s="357">
        <f t="shared" ref="AW5:AW11" si="5">IF(X5="N/A","N/A",IF(X5="Yes",5,0))</f>
        <v>5</v>
      </c>
      <c r="AX5" s="357">
        <f t="shared" ref="AX5:AX11" si="6">IF(Y5="N/A","N/A",IF(Y5="Yes",2,0))</f>
        <v>2</v>
      </c>
      <c r="AY5" s="355">
        <f>IF(Z5="N/A","N/A",IF(Z5="Yes",3,0))</f>
        <v>3</v>
      </c>
      <c r="AZ5" s="358">
        <f t="shared" ref="AZ5:BD10" si="7">AA5*2</f>
        <v>1.3333333333333333</v>
      </c>
      <c r="BA5" s="358">
        <f t="shared" si="7"/>
        <v>9.5238095238095233E-2</v>
      </c>
      <c r="BB5" s="358">
        <f t="shared" si="7"/>
        <v>9.5238095238095233E-2</v>
      </c>
      <c r="BC5" s="358">
        <f t="shared" si="7"/>
        <v>9.5238095238095233E-2</v>
      </c>
      <c r="BD5" s="358">
        <f t="shared" si="7"/>
        <v>0.47619047619047616</v>
      </c>
    </row>
    <row r="6" spans="1:56" s="219" customFormat="1" ht="38.25" x14ac:dyDescent="0.25">
      <c r="A6" s="359" t="s">
        <v>500</v>
      </c>
      <c r="B6" s="359" t="s">
        <v>285</v>
      </c>
      <c r="C6" s="360" t="s">
        <v>5</v>
      </c>
      <c r="D6" s="346" t="str">
        <f>'Raw Project Data'!G5</f>
        <v>Tenant-Based</v>
      </c>
      <c r="E6" s="337" t="s">
        <v>303</v>
      </c>
      <c r="F6" s="359" t="s">
        <v>502</v>
      </c>
      <c r="G6" s="339" t="s">
        <v>451</v>
      </c>
      <c r="H6" s="347">
        <f>IF('Raw Project Data'!N5="N/A","N/A",('Raw Project Data'!N5/'Raw Project Data'!O5))</f>
        <v>0.9</v>
      </c>
      <c r="I6" s="347">
        <f>AVERAGE('Raw Project Data'!AJ5:AM5)/'Raw Project Data'!H5</f>
        <v>0.36875000000000002</v>
      </c>
      <c r="J6" s="347">
        <f>'Raw Project Data'!BD5/('Raw Project Data'!BF5-'Raw Project Data'!BE5)</f>
        <v>0.82399999999999995</v>
      </c>
      <c r="K6" s="347" t="str">
        <f>IF('Raw Project Data'!C5="RRH","N/A",('Raw Project Data'!CO5/('Raw Project Data'!CQ5-'Raw Project Data'!CP5)))</f>
        <v>N/A</v>
      </c>
      <c r="L6" s="348">
        <f>'Raw Project Data'!CF5</f>
        <v>21.14</v>
      </c>
      <c r="M6" s="347">
        <f>(('Raw Project Data'!BP5+'Raw Project Data'!BR5)/('Raw Project Data'!BJ5+'Raw Project Data'!BK5-'Raw Project Data'!BI5-'Raw Project Data'!BG5-'Raw Project Data'!BH5))</f>
        <v>0.13953488372093023</v>
      </c>
      <c r="N6" s="347">
        <f>(('Raw Project Data'!BQ5+'Raw Project Data'!BS5)/('Raw Project Data'!BJ5+'Raw Project Data'!BK5-'Raw Project Data'!BI5-'Raw Project Data'!BG5-'Raw Project Data'!BH5))</f>
        <v>0.11627906976744186</v>
      </c>
      <c r="O6" s="347">
        <f>('Raw Project Data'!BL5+'Raw Project Data'!BM5+'Raw Project Data'!BN5+'Raw Project Data'!BO5)/('Raw Project Data'!BJ5+'Raw Project Data'!BK5-'Raw Project Data'!BI5-'Raw Project Data'!BG5-'Raw Project Data'!BH5)</f>
        <v>0.46511627906976744</v>
      </c>
      <c r="P6" s="347">
        <f>(('Raw Project Data'!BT5+'Raw Project Data'!BU5)/('Raw Project Data'!BX5+'Raw Project Data'!BY5-'Raw Project Data'!BI5-'Raw Project Data'!BV5-'Raw Project Data'!BW5))</f>
        <v>0.76190476190476186</v>
      </c>
      <c r="Q6" s="349">
        <f>(IF('Raw Project Data'!C5="PSH","N/A",('Raw Project Data'!BZ5+'Raw Project Data'!CA5+'Raw Project Data'!CB5+'Raw Project Data'!CC5)/'Raw Project Data'!CD5))</f>
        <v>0.56944444444444442</v>
      </c>
      <c r="R6" s="347" t="str">
        <f>IF('Raw Project Data'!C5="RRH","N/A",(('Raw Project Data'!CE5+'Raw Project Data'!CL5)/(('Raw Project Data'!CK5+'Raw Project Data'!CE5)-'Raw Project Data'!CM5)))</f>
        <v>N/A</v>
      </c>
      <c r="S6" s="350">
        <f>IF('Raw Project Data'!C5="PSH","N/A",IF('Raw Project Data'!CK5=0,"No Exits",'Raw Project Data'!CN5))</f>
        <v>0.90500000000000003</v>
      </c>
      <c r="T6" s="347">
        <f>IF('Raw Project Data'!CK5=0,"No Exits",(('Raw Project Data'!CG5+'Raw Project Data'!CH5+'Raw Project Data'!CJ5)/('Raw Project Data'!CK5)))</f>
        <v>0</v>
      </c>
      <c r="U6" s="507">
        <f>IF('Raw Project Data'!Q5=0,"No Exits",('Raw Project Data'!P5/('Raw Project Data'!R5+'Raw Project Data'!S5+'Raw Project Data'!T5+'Raw Project Data'!U5)))</f>
        <v>0.125</v>
      </c>
      <c r="V6" s="347">
        <f>IF(('Raw Project Data'!AB5+'Raw Project Data'!AC5+'Raw Project Data'!AD5+'Raw Project Data'!AE5+'Raw Project Data'!AF5)=0,"No Entries",(('Raw Project Data'!AA5+'Raw Project Data'!AB5+'Raw Project Data'!AC5)/('Raw Project Data'!AA5+'Raw Project Data'!AB5+'Raw Project Data'!AC5+'Raw Project Data'!AD5+'Raw Project Data'!AE5+'Raw Project Data'!AF5)))</f>
        <v>0.28846153846153844</v>
      </c>
      <c r="W6" s="347">
        <f>'Raw Project Data'!J5</f>
        <v>0.25</v>
      </c>
      <c r="X6" s="351" t="str">
        <f>'Raw Project Data'!V5</f>
        <v>Yes</v>
      </c>
      <c r="Y6" s="352" t="str">
        <f>'Raw Project Data'!W5</f>
        <v>Yes</v>
      </c>
      <c r="Z6" s="349" t="str">
        <f>'Raw Project Data'!X5</f>
        <v>Yes</v>
      </c>
      <c r="AA6" s="347">
        <f>('Raw Project Data'!AR5+'Raw Project Data'!AS5+'Raw Project Data'!AT5+'Raw Project Data'!AU5)/('Raw Project Data'!AV5+'Raw Project Data'!AW5-'Raw Project Data'!AX5-'Raw Project Data'!AY5)</f>
        <v>0.47580645161290325</v>
      </c>
      <c r="AB6" s="354">
        <f>('Raw Project Data'!AZ5)/('Raw Project Data'!BB5-'Raw Project Data'!BA5)</f>
        <v>0.48</v>
      </c>
      <c r="AC6" s="354">
        <f>('Raw Project Data'!BC5)/('Raw Project Data'!BF5-'Raw Project Data'!BE5)</f>
        <v>0.44</v>
      </c>
      <c r="AD6" s="354">
        <f>'Raw Project Data'!AN5/('Raw Project Data'!Z5-'Raw Project Data'!AQ5)</f>
        <v>0.20161290322580644</v>
      </c>
      <c r="AE6" s="353">
        <f>('Raw Project Data'!AO5+'Raw Project Data'!AP5)/('Raw Project Data'!Z5-'Raw Project Data'!AQ5)</f>
        <v>0.10483870967741936</v>
      </c>
      <c r="AF6" s="362"/>
      <c r="AG6" s="355">
        <f t="shared" si="0"/>
        <v>5</v>
      </c>
      <c r="AH6" s="355">
        <f t="shared" si="1"/>
        <v>0</v>
      </c>
      <c r="AI6" s="355">
        <f t="shared" si="2"/>
        <v>0</v>
      </c>
      <c r="AJ6" s="355" t="str">
        <f t="shared" ref="AJ6:AJ11" si="8">IF(K6="N/A","N/A",IF(K6&gt;=0.95,5,IF(K6&gt;=0.85,3,IF(K6&gt;=0.75,1,0))))</f>
        <v>N/A</v>
      </c>
      <c r="AK6" s="356">
        <f t="shared" ref="AK6:AK11" si="9">IF(L6="N/A","N/A",IF(D6="Tenant-Based",(IF(L6&lt;31,5,IF(L6&lt;61,3,IF(L6&lt;181,1,0)))),IF(D6="Site-Based",IF(L6&lt;15,5,IF(L6&lt;22,3,IF(L6&lt;61,1,0))))))</f>
        <v>5</v>
      </c>
      <c r="AL6" s="355">
        <f>IF(M6="N/A","N/A",IF('Raw Project Data'!C5="PSH",(IF(M6&gt;=0.15,10,IF(M6&gt;=0.1,6,IF(M6&gt;=0.05,3,0)))),(IF(M6&gt;=0.2,10,IF(M6&gt;=0.1,6,IF(M6&gt;=0.05,3,0))))))</f>
        <v>6</v>
      </c>
      <c r="AM6" s="355">
        <f>IF(N6="N/A","N/A",IF('Raw Project Data'!C5="PSH",(IF(N6&gt;=0.7,5,IF(N6&gt;=0.55,3,IF(N6&gt;=0.4,1,0)))),(IF(N6&gt;=0.15,5,IF(N6&gt;=0.1,3,IF(N6&gt;=0.05,1,0))))))</f>
        <v>3</v>
      </c>
      <c r="AN6" s="355">
        <f>IF(O6="N/A","N/A",IF('Raw Project Data'!C5="PSH",(IF(O6&gt;=0.15,5,IF(O6&gt;=0.1,3,IF(O6&gt;=0.05,1,0)))),(IF(O6&gt;=0.7,5,IF(O6&gt;=0.5,3,IF(O6&gt;=0.35,1,0))))))</f>
        <v>1</v>
      </c>
      <c r="AO6" s="355">
        <f>IF(P6="N/A","N/A",IF('Raw Project Data'!C5="PSH",(IF(P6&gt;=0.65,3,IF(P6&gt;=0.5,2,IF(P6&gt;=0.35,1,0)))),(IF(P6&gt;=0.55,3,IF(P6&gt;=0.4,2,IF(P6&gt;=0.25,1,0))))))</f>
        <v>3</v>
      </c>
      <c r="AP6" s="357">
        <f t="shared" ref="AP6:AP11" si="10">IF(Q6="N/A","N/A",IF(Q6&gt;=0.5,5,IF(Q6&gt;=0.35,3,IF(Q6&gt;=0.25,1,0))))</f>
        <v>5</v>
      </c>
      <c r="AQ6" s="357" t="str">
        <f t="shared" ref="AQ6:AQ11" si="11">IF(R6="N/A","N/A",IF(R6&gt;=0.85,5,IF(R6&gt;=0.65,3,IF(R6&gt;=0.45,1,0))))</f>
        <v>N/A</v>
      </c>
      <c r="AR6" s="357">
        <f t="shared" ref="AR6:AR11" si="12">IF(S6="No Exits","N/A",IF(S6="N/A","N/A",IF(S6&gt;=0.85,5,IF(S6&gt;=0.65,3,IF(S6&gt;=0.45,1,0)))))</f>
        <v>5</v>
      </c>
      <c r="AS6" s="357">
        <f t="shared" ref="AS6:AS11" si="13">IF(T6="No Exits","N/A",IF(T6="N/A","N/A",IF(T6&lt;=0.05,5,0)))</f>
        <v>5</v>
      </c>
      <c r="AT6" s="510">
        <f t="shared" ref="AT6:AT11" si="14">IF(U6="No Exits","N/A",IF(U6="N/A","N/A",IF(U6&lt;0.15,10,IF(U6&lt;0.2,5,IF(U6&lt;0.25,3,0)))))</f>
        <v>10</v>
      </c>
      <c r="AU6" s="357">
        <f t="shared" si="3"/>
        <v>0</v>
      </c>
      <c r="AV6" s="357">
        <f t="shared" si="4"/>
        <v>5</v>
      </c>
      <c r="AW6" s="357">
        <f t="shared" si="5"/>
        <v>5</v>
      </c>
      <c r="AX6" s="357">
        <f t="shared" si="6"/>
        <v>2</v>
      </c>
      <c r="AY6" s="355">
        <f t="shared" ref="AY6:AY11" si="15">IF(Z6="N/A","N/A",IF(Z6="Yes",3,0))</f>
        <v>3</v>
      </c>
      <c r="AZ6" s="358">
        <f t="shared" si="7"/>
        <v>0.95161290322580649</v>
      </c>
      <c r="BA6" s="358">
        <f t="shared" si="7"/>
        <v>0.96</v>
      </c>
      <c r="BB6" s="358">
        <f t="shared" si="7"/>
        <v>0.88</v>
      </c>
      <c r="BC6" s="358">
        <f t="shared" si="7"/>
        <v>0.40322580645161288</v>
      </c>
      <c r="BD6" s="358">
        <f t="shared" si="7"/>
        <v>0.20967741935483872</v>
      </c>
    </row>
    <row r="7" spans="1:56" s="219" customFormat="1" ht="12.75" x14ac:dyDescent="0.25">
      <c r="A7" s="240" t="s">
        <v>399</v>
      </c>
      <c r="B7" s="240" t="s">
        <v>285</v>
      </c>
      <c r="C7" s="241" t="s">
        <v>6</v>
      </c>
      <c r="D7" s="242" t="str">
        <f>'Raw Project Data'!G6</f>
        <v>Site-Based</v>
      </c>
      <c r="E7" s="240" t="s">
        <v>434</v>
      </c>
      <c r="F7" s="240" t="s">
        <v>611</v>
      </c>
      <c r="G7" s="481" t="s">
        <v>552</v>
      </c>
      <c r="H7" s="225" t="e">
        <f>'Raw Project Data'!N6/'Raw Project Data'!O6</f>
        <v>#DIV/0!</v>
      </c>
      <c r="I7" s="225" t="e">
        <f>AVERAGE('Raw Project Data'!AL6:AM6)/'Raw Project Data'!H6</f>
        <v>#DIV/0!</v>
      </c>
      <c r="J7" s="225" t="e">
        <f>'Raw Project Data'!BD6/('Raw Project Data'!BF6-'Raw Project Data'!BE6)</f>
        <v>#DIV/0!</v>
      </c>
      <c r="K7" s="225" t="e">
        <f>IF('Raw Project Data'!C6="RRH","N/A",('Raw Project Data'!CO6/('Raw Project Data'!CQ6-'Raw Project Data'!CP6)))</f>
        <v>#DIV/0!</v>
      </c>
      <c r="L7" s="226">
        <f>'Raw Project Data'!CF6</f>
        <v>0</v>
      </c>
      <c r="M7" s="225" t="e">
        <f>(('Raw Project Data'!BP6+'Raw Project Data'!BR6)/('Raw Project Data'!BJ6+'Raw Project Data'!BK6-'Raw Project Data'!BI6-'Raw Project Data'!BG6-'Raw Project Data'!BH6))</f>
        <v>#DIV/0!</v>
      </c>
      <c r="N7" s="225" t="e">
        <f>(('Raw Project Data'!BQ6+'Raw Project Data'!BS6)/('Raw Project Data'!BJ6+'Raw Project Data'!BK6-'Raw Project Data'!BI6-'Raw Project Data'!BG6-'Raw Project Data'!BH6))</f>
        <v>#DIV/0!</v>
      </c>
      <c r="O7" s="225" t="e">
        <f>('Raw Project Data'!BL6+'Raw Project Data'!BM6+'Raw Project Data'!BN6+'Raw Project Data'!BO6)/('Raw Project Data'!BJ6+'Raw Project Data'!BK6-'Raw Project Data'!BI6-'Raw Project Data'!BG6-'Raw Project Data'!BH6)</f>
        <v>#DIV/0!</v>
      </c>
      <c r="P7" s="225" t="e">
        <f>(('Raw Project Data'!BT6+'Raw Project Data'!BU6)/('Raw Project Data'!BX6+'Raw Project Data'!BY6-'Raw Project Data'!BI6-'Raw Project Data'!BV6-'Raw Project Data'!BW6))</f>
        <v>#DIV/0!</v>
      </c>
      <c r="Q7" s="227" t="str">
        <f>(IF('Raw Project Data'!C6="PSH","N/A",('Raw Project Data'!BZ6+'Raw Project Data'!CA6+'Raw Project Data'!CB6+'Raw Project Data'!CC6)/'Raw Project Data'!CD6))</f>
        <v>N/A</v>
      </c>
      <c r="R7" s="225" t="e">
        <f>IF('Raw Project Data'!C6="RRH","N/A",(('Raw Project Data'!CE6+'Raw Project Data'!CL6)/(('Raw Project Data'!CK6+'Raw Project Data'!CE6)-'Raw Project Data'!CM6)))</f>
        <v>#DIV/0!</v>
      </c>
      <c r="S7" s="228" t="str">
        <f>IF('Raw Project Data'!C6="PSH","N/A",IF('Raw Project Data'!CK6=0,"No Exits",'Raw Project Data'!CN6))</f>
        <v>N/A</v>
      </c>
      <c r="T7" s="225" t="str">
        <f>IF('Raw Project Data'!CK6=0,"No Exits",(('Raw Project Data'!CG6+'Raw Project Data'!CH6+'Raw Project Data'!CJ6)/('Raw Project Data'!CK6)))</f>
        <v>No Exits</v>
      </c>
      <c r="U7" s="508" t="str">
        <f>IF('Raw Project Data'!Q6=0,"No Exits",('Raw Project Data'!P6/('Raw Project Data'!R6+'Raw Project Data'!S6+'Raw Project Data'!T6+'Raw Project Data'!U6)))</f>
        <v>No Exits</v>
      </c>
      <c r="V7" s="225" t="str">
        <f>IF(('Raw Project Data'!AB6+'Raw Project Data'!AC6+'Raw Project Data'!AD6+'Raw Project Data'!AE6+'Raw Project Data'!AF6)=0,"No Entries",(('Raw Project Data'!AA6+'Raw Project Data'!AB6+'Raw Project Data'!AC6)/('Raw Project Data'!AA6+'Raw Project Data'!AB6+'Raw Project Data'!AC6+'Raw Project Data'!AD6+'Raw Project Data'!AE6+'Raw Project Data'!AF6)))</f>
        <v>No Entries</v>
      </c>
      <c r="W7" s="225">
        <f>'Raw Project Data'!J6</f>
        <v>0</v>
      </c>
      <c r="X7" s="229">
        <f>'Raw Project Data'!V6</f>
        <v>0</v>
      </c>
      <c r="Y7" s="332">
        <f>'Raw Project Data'!W6</f>
        <v>0</v>
      </c>
      <c r="Z7" s="229">
        <f>'Raw Project Data'!X6</f>
        <v>0</v>
      </c>
      <c r="AA7" s="225" t="e">
        <f>('Raw Project Data'!AR6+'Raw Project Data'!AS6+'Raw Project Data'!AT6+'Raw Project Data'!AU6)/('Raw Project Data'!AV6+'Raw Project Data'!AW6-'Raw Project Data'!AX6-'Raw Project Data'!AY6)</f>
        <v>#DIV/0!</v>
      </c>
      <c r="AB7" s="230" t="e">
        <f>('Raw Project Data'!AZ6)/('Raw Project Data'!BB6-'Raw Project Data'!BA6)</f>
        <v>#DIV/0!</v>
      </c>
      <c r="AC7" s="230" t="e">
        <f>('Raw Project Data'!BC6)/('Raw Project Data'!BF6-'Raw Project Data'!BE6)</f>
        <v>#DIV/0!</v>
      </c>
      <c r="AD7" s="230" t="e">
        <f>'Raw Project Data'!AN6/('Raw Project Data'!Z6-'Raw Project Data'!AQ6)</f>
        <v>#DIV/0!</v>
      </c>
      <c r="AE7" s="333" t="e">
        <f>('Raw Project Data'!AO6+'Raw Project Data'!AP6)/('Raw Project Data'!Z6-'Raw Project Data'!AQ6)</f>
        <v>#DIV/0!</v>
      </c>
      <c r="AF7" s="231"/>
      <c r="AG7" s="232" t="e">
        <f t="shared" si="0"/>
        <v>#DIV/0!</v>
      </c>
      <c r="AH7" s="232" t="e">
        <f t="shared" si="1"/>
        <v>#DIV/0!</v>
      </c>
      <c r="AI7" s="232" t="e">
        <f t="shared" si="2"/>
        <v>#DIV/0!</v>
      </c>
      <c r="AJ7" s="232" t="e">
        <f t="shared" si="8"/>
        <v>#DIV/0!</v>
      </c>
      <c r="AK7" s="233">
        <f t="shared" si="9"/>
        <v>5</v>
      </c>
      <c r="AL7" s="232" t="e">
        <f>IF(M7="N/A","N/A",IF('Raw Project Data'!C6="PSH",(IF(M7&gt;=0.15,10,IF(M7&gt;=0.1,6,IF(M7&gt;=0.05,3,0)))),(IF(M7&gt;=0.2,10,IF(M7&gt;=0.1,6,IF(M7&gt;=0.05,3,0))))))</f>
        <v>#DIV/0!</v>
      </c>
      <c r="AM7" s="232" t="e">
        <f>IF(N7="N/A","N/A",IF('Raw Project Data'!C6="PSH",(IF(N7&gt;=0.7,5,IF(N7&gt;=0.55,3,IF(N7&gt;=0.4,1,0)))),(IF(N7&gt;=0.15,5,IF(N7&gt;=0.1,3,IF(N7&gt;=0.05,1,0))))))</f>
        <v>#DIV/0!</v>
      </c>
      <c r="AN7" s="232" t="e">
        <f>IF(O7="N/A","N/A",IF('Raw Project Data'!C6="PSH",(IF(O7&gt;=0.15,5,IF(O7&gt;=0.1,3,IF(O7&gt;=0.05,1,0)))),(IF(O7&gt;=0.7,5,IF(O7&gt;=0.5,3,IF(O7&gt;=0.35,1,0))))))</f>
        <v>#DIV/0!</v>
      </c>
      <c r="AO7" s="232" t="e">
        <f>IF(P7="N/A","N/A",IF('Raw Project Data'!C6="PSH",(IF(P7&gt;=0.65,3,IF(P7&gt;=0.5,2,IF(P7&gt;=0.35,1,0)))),(IF(P7&gt;=0.55,3,IF(P7&gt;=0.4,2,IF(P7&gt;=0.25,1,0))))))</f>
        <v>#DIV/0!</v>
      </c>
      <c r="AP7" s="234" t="str">
        <f t="shared" si="10"/>
        <v>N/A</v>
      </c>
      <c r="AQ7" s="234" t="e">
        <f t="shared" si="11"/>
        <v>#DIV/0!</v>
      </c>
      <c r="AR7" s="234" t="str">
        <f t="shared" si="12"/>
        <v>N/A</v>
      </c>
      <c r="AS7" s="234" t="str">
        <f t="shared" si="13"/>
        <v>N/A</v>
      </c>
      <c r="AT7" s="511" t="str">
        <f t="shared" si="14"/>
        <v>N/A</v>
      </c>
      <c r="AU7" s="234" t="str">
        <f t="shared" si="3"/>
        <v>N/A</v>
      </c>
      <c r="AV7" s="234">
        <f t="shared" si="4"/>
        <v>0</v>
      </c>
      <c r="AW7" s="234">
        <f t="shared" si="5"/>
        <v>0</v>
      </c>
      <c r="AX7" s="234">
        <f t="shared" si="6"/>
        <v>0</v>
      </c>
      <c r="AY7" s="234">
        <f t="shared" si="15"/>
        <v>0</v>
      </c>
      <c r="AZ7" s="235" t="e">
        <f t="shared" si="7"/>
        <v>#DIV/0!</v>
      </c>
      <c r="BA7" s="235" t="e">
        <f t="shared" si="7"/>
        <v>#DIV/0!</v>
      </c>
      <c r="BB7" s="235" t="e">
        <f t="shared" si="7"/>
        <v>#DIV/0!</v>
      </c>
      <c r="BC7" s="235" t="e">
        <f t="shared" si="7"/>
        <v>#DIV/0!</v>
      </c>
      <c r="BD7" s="235" t="e">
        <f t="shared" si="7"/>
        <v>#DIV/0!</v>
      </c>
    </row>
    <row r="8" spans="1:56" s="219" customFormat="1" ht="12.75" x14ac:dyDescent="0.25">
      <c r="A8" s="240" t="s">
        <v>400</v>
      </c>
      <c r="B8" s="240" t="s">
        <v>285</v>
      </c>
      <c r="C8" s="241" t="s">
        <v>6</v>
      </c>
      <c r="D8" s="242" t="str">
        <f>'Raw Project Data'!G7</f>
        <v>Site-Based</v>
      </c>
      <c r="E8" s="240" t="s">
        <v>435</v>
      </c>
      <c r="F8" s="240" t="s">
        <v>609</v>
      </c>
      <c r="G8" s="481" t="s">
        <v>551</v>
      </c>
      <c r="H8" s="225" t="e">
        <f>'Raw Project Data'!N7/'Raw Project Data'!O7</f>
        <v>#DIV/0!</v>
      </c>
      <c r="I8" s="225" t="e">
        <f>AVERAGE('Raw Project Data'!AL7:AM7)/'Raw Project Data'!H7</f>
        <v>#DIV/0!</v>
      </c>
      <c r="J8" s="225" t="e">
        <f>'Raw Project Data'!BD7/('Raw Project Data'!BF7-'Raw Project Data'!BE7)</f>
        <v>#DIV/0!</v>
      </c>
      <c r="K8" s="225" t="e">
        <f>IF('Raw Project Data'!C7="RRH","N/A",('Raw Project Data'!CO7/('Raw Project Data'!CQ7-'Raw Project Data'!CP7)))</f>
        <v>#DIV/0!</v>
      </c>
      <c r="L8" s="226">
        <f>'Raw Project Data'!CF7</f>
        <v>0</v>
      </c>
      <c r="M8" s="225" t="e">
        <f>(('Raw Project Data'!BP7+'Raw Project Data'!BR7)/('Raw Project Data'!BJ7+'Raw Project Data'!BK7-'Raw Project Data'!BI7-'Raw Project Data'!BG7-'Raw Project Data'!BH7))</f>
        <v>#DIV/0!</v>
      </c>
      <c r="N8" s="225" t="e">
        <f>(('Raw Project Data'!BQ7+'Raw Project Data'!BS7)/('Raw Project Data'!BJ7+'Raw Project Data'!BK7-'Raw Project Data'!BI7-'Raw Project Data'!BG7-'Raw Project Data'!BH7))</f>
        <v>#DIV/0!</v>
      </c>
      <c r="O8" s="225" t="e">
        <f>('Raw Project Data'!BL7+'Raw Project Data'!BM7+'Raw Project Data'!BN7+'Raw Project Data'!BO7)/('Raw Project Data'!BJ7+'Raw Project Data'!BK7-'Raw Project Data'!BI7-'Raw Project Data'!BG7-'Raw Project Data'!BH7)</f>
        <v>#DIV/0!</v>
      </c>
      <c r="P8" s="225" t="e">
        <f>(('Raw Project Data'!BT7+'Raw Project Data'!BU7)/('Raw Project Data'!BX7+'Raw Project Data'!BY7-'Raw Project Data'!BI7-'Raw Project Data'!BV7-'Raw Project Data'!BW7))</f>
        <v>#DIV/0!</v>
      </c>
      <c r="Q8" s="227" t="str">
        <f>(IF('Raw Project Data'!C7="PSH","N/A",('Raw Project Data'!BZ7+'Raw Project Data'!CA7+'Raw Project Data'!CB7+'Raw Project Data'!CC7)/'Raw Project Data'!CD7))</f>
        <v>N/A</v>
      </c>
      <c r="R8" s="225" t="e">
        <f>IF('Raw Project Data'!C7="RRH","N/A",(('Raw Project Data'!CE7+'Raw Project Data'!CL7)/(('Raw Project Data'!CK7+'Raw Project Data'!CE7)-'Raw Project Data'!CM7)))</f>
        <v>#DIV/0!</v>
      </c>
      <c r="S8" s="228" t="str">
        <f>IF('Raw Project Data'!C7="PSH","N/A",IF('Raw Project Data'!CK7=0,"No Exits",'Raw Project Data'!CN7))</f>
        <v>N/A</v>
      </c>
      <c r="T8" s="225" t="str">
        <f>IF('Raw Project Data'!CK7=0,"No Exits",(('Raw Project Data'!CG7+'Raw Project Data'!CH7+'Raw Project Data'!CJ7)/('Raw Project Data'!CK7)))</f>
        <v>No Exits</v>
      </c>
      <c r="U8" s="508" t="str">
        <f>IF('Raw Project Data'!Q7=0,"No Exits",('Raw Project Data'!P7/('Raw Project Data'!R7+'Raw Project Data'!S7+'Raw Project Data'!T7+'Raw Project Data'!U7)))</f>
        <v>No Exits</v>
      </c>
      <c r="V8" s="225" t="str">
        <f>IF(('Raw Project Data'!AB7+'Raw Project Data'!AC7+'Raw Project Data'!AD7+'Raw Project Data'!AE7+'Raw Project Data'!AF7)=0,"No Entries",(('Raw Project Data'!AA7+'Raw Project Data'!AB7+'Raw Project Data'!AC7)/('Raw Project Data'!AA7+'Raw Project Data'!AB7+'Raw Project Data'!AC7+'Raw Project Data'!AD7+'Raw Project Data'!AE7+'Raw Project Data'!AF7)))</f>
        <v>No Entries</v>
      </c>
      <c r="W8" s="225">
        <f>'Raw Project Data'!J7</f>
        <v>0</v>
      </c>
      <c r="X8" s="229">
        <f>'Raw Project Data'!V7</f>
        <v>0</v>
      </c>
      <c r="Y8" s="332">
        <f>'Raw Project Data'!W7</f>
        <v>0</v>
      </c>
      <c r="Z8" s="229">
        <f>'Raw Project Data'!X7</f>
        <v>0</v>
      </c>
      <c r="AA8" s="225" t="e">
        <f>('Raw Project Data'!AR7+'Raw Project Data'!AS7+'Raw Project Data'!AT7+'Raw Project Data'!AU7)/('Raw Project Data'!AV7+'Raw Project Data'!AW7-'Raw Project Data'!AX7-'Raw Project Data'!AY7)</f>
        <v>#DIV/0!</v>
      </c>
      <c r="AB8" s="230" t="e">
        <f>('Raw Project Data'!AZ7)/('Raw Project Data'!BB7-'Raw Project Data'!BA7)</f>
        <v>#DIV/0!</v>
      </c>
      <c r="AC8" s="230" t="e">
        <f>('Raw Project Data'!BC7)/('Raw Project Data'!BF7-'Raw Project Data'!BE7)</f>
        <v>#DIV/0!</v>
      </c>
      <c r="AD8" s="230" t="e">
        <f>'Raw Project Data'!AN7/('Raw Project Data'!Z7-'Raw Project Data'!AQ7)</f>
        <v>#DIV/0!</v>
      </c>
      <c r="AE8" s="333" t="e">
        <f>('Raw Project Data'!AO7+'Raw Project Data'!AP7)/('Raw Project Data'!Z7-'Raw Project Data'!AQ7)</f>
        <v>#DIV/0!</v>
      </c>
      <c r="AF8" s="231"/>
      <c r="AG8" s="232" t="e">
        <f t="shared" si="0"/>
        <v>#DIV/0!</v>
      </c>
      <c r="AH8" s="232" t="e">
        <f t="shared" si="1"/>
        <v>#DIV/0!</v>
      </c>
      <c r="AI8" s="232" t="e">
        <f t="shared" si="2"/>
        <v>#DIV/0!</v>
      </c>
      <c r="AJ8" s="232" t="e">
        <f t="shared" si="8"/>
        <v>#DIV/0!</v>
      </c>
      <c r="AK8" s="233">
        <f t="shared" si="9"/>
        <v>5</v>
      </c>
      <c r="AL8" s="232" t="e">
        <f>IF(M8="N/A","N/A",IF('Raw Project Data'!C7="PSH",(IF(M8&gt;=0.15,10,IF(M8&gt;=0.1,6,IF(M8&gt;=0.05,3,0)))),(IF(M8&gt;=0.2,10,IF(M8&gt;=0.1,6,IF(M8&gt;=0.05,3,0))))))</f>
        <v>#DIV/0!</v>
      </c>
      <c r="AM8" s="232" t="e">
        <f>IF(N8="N/A","N/A",IF('Raw Project Data'!C7="PSH",(IF(N8&gt;=0.7,5,IF(N8&gt;=0.55,3,IF(N8&gt;=0.4,1,0)))),(IF(N8&gt;=0.15,5,IF(N8&gt;=0.1,3,IF(N8&gt;=0.05,1,0))))))</f>
        <v>#DIV/0!</v>
      </c>
      <c r="AN8" s="232" t="e">
        <f>IF(O8="N/A","N/A",IF('Raw Project Data'!C7="PSH",(IF(O8&gt;=0.15,5,IF(O8&gt;=0.1,3,IF(O8&gt;=0.05,1,0)))),(IF(O8&gt;=0.7,5,IF(O8&gt;=0.5,3,IF(O8&gt;=0.35,1,0))))))</f>
        <v>#DIV/0!</v>
      </c>
      <c r="AO8" s="232" t="e">
        <f>IF(P8="N/A","N/A",IF('Raw Project Data'!C7="PSH",(IF(P8&gt;=0.65,3,IF(P8&gt;=0.5,2,IF(P8&gt;=0.35,1,0)))),(IF(P8&gt;=0.55,3,IF(P8&gt;=0.4,2,IF(P8&gt;=0.25,1,0))))))</f>
        <v>#DIV/0!</v>
      </c>
      <c r="AP8" s="234" t="str">
        <f t="shared" si="10"/>
        <v>N/A</v>
      </c>
      <c r="AQ8" s="234" t="e">
        <f t="shared" si="11"/>
        <v>#DIV/0!</v>
      </c>
      <c r="AR8" s="234" t="str">
        <f t="shared" si="12"/>
        <v>N/A</v>
      </c>
      <c r="AS8" s="234" t="str">
        <f t="shared" si="13"/>
        <v>N/A</v>
      </c>
      <c r="AT8" s="511" t="str">
        <f t="shared" si="14"/>
        <v>N/A</v>
      </c>
      <c r="AU8" s="234" t="str">
        <f t="shared" si="3"/>
        <v>N/A</v>
      </c>
      <c r="AV8" s="234">
        <f t="shared" si="4"/>
        <v>0</v>
      </c>
      <c r="AW8" s="234">
        <f t="shared" si="5"/>
        <v>0</v>
      </c>
      <c r="AX8" s="234">
        <f t="shared" si="6"/>
        <v>0</v>
      </c>
      <c r="AY8" s="234">
        <f t="shared" si="15"/>
        <v>0</v>
      </c>
      <c r="AZ8" s="235" t="e">
        <f t="shared" si="7"/>
        <v>#DIV/0!</v>
      </c>
      <c r="BA8" s="235" t="e">
        <f t="shared" si="7"/>
        <v>#DIV/0!</v>
      </c>
      <c r="BB8" s="235" t="e">
        <f t="shared" si="7"/>
        <v>#DIV/0!</v>
      </c>
      <c r="BC8" s="235" t="e">
        <f t="shared" si="7"/>
        <v>#DIV/0!</v>
      </c>
      <c r="BD8" s="235" t="e">
        <f t="shared" si="7"/>
        <v>#DIV/0!</v>
      </c>
    </row>
    <row r="9" spans="1:56" s="219" customFormat="1" ht="12.75" x14ac:dyDescent="0.25">
      <c r="A9" s="240" t="s">
        <v>401</v>
      </c>
      <c r="B9" s="240" t="s">
        <v>285</v>
      </c>
      <c r="C9" s="241" t="s">
        <v>5</v>
      </c>
      <c r="D9" s="242" t="str">
        <f>'Raw Project Data'!G8</f>
        <v>Tenant-Based</v>
      </c>
      <c r="E9" s="240" t="s">
        <v>436</v>
      </c>
      <c r="F9" s="240" t="s">
        <v>607</v>
      </c>
      <c r="G9" s="481" t="s">
        <v>550</v>
      </c>
      <c r="H9" s="225" t="e">
        <f>'Raw Project Data'!N8/'Raw Project Data'!O8</f>
        <v>#DIV/0!</v>
      </c>
      <c r="I9" s="225" t="e">
        <f>AVERAGE('Raw Project Data'!AL8:AM8)/'Raw Project Data'!H8</f>
        <v>#DIV/0!</v>
      </c>
      <c r="J9" s="225" t="e">
        <f>'Raw Project Data'!BD8/('Raw Project Data'!BF8-'Raw Project Data'!BE8)</f>
        <v>#DIV/0!</v>
      </c>
      <c r="K9" s="225" t="str">
        <f>IF('Raw Project Data'!C8="RRH","N/A",('Raw Project Data'!CO8/('Raw Project Data'!CQ8-'Raw Project Data'!CP8)))</f>
        <v>N/A</v>
      </c>
      <c r="L9" s="226">
        <f>'Raw Project Data'!CF8</f>
        <v>0</v>
      </c>
      <c r="M9" s="225" t="e">
        <f>(('Raw Project Data'!BP8+'Raw Project Data'!BR8)/('Raw Project Data'!BJ8+'Raw Project Data'!BK8-'Raw Project Data'!BI8-'Raw Project Data'!BG8-'Raw Project Data'!BH8))</f>
        <v>#DIV/0!</v>
      </c>
      <c r="N9" s="225" t="e">
        <f>(('Raw Project Data'!BQ8+'Raw Project Data'!BS8)/('Raw Project Data'!BJ8+'Raw Project Data'!BK8-'Raw Project Data'!BI8-'Raw Project Data'!BG8-'Raw Project Data'!BH8))</f>
        <v>#DIV/0!</v>
      </c>
      <c r="O9" s="225" t="e">
        <f>('Raw Project Data'!BL8+'Raw Project Data'!BM8+'Raw Project Data'!BN8+'Raw Project Data'!BO8)/('Raw Project Data'!BJ8+'Raw Project Data'!BK8-'Raw Project Data'!BI8-'Raw Project Data'!BG8-'Raw Project Data'!BH8)</f>
        <v>#DIV/0!</v>
      </c>
      <c r="P9" s="225" t="e">
        <f>(('Raw Project Data'!BT8+'Raw Project Data'!BU8)/('Raw Project Data'!BX8+'Raw Project Data'!BY8-'Raw Project Data'!BI8-'Raw Project Data'!BV8-'Raw Project Data'!BW8))</f>
        <v>#DIV/0!</v>
      </c>
      <c r="Q9" s="227" t="e">
        <f>(IF('Raw Project Data'!C8="PSH","N/A",('Raw Project Data'!BZ8+'Raw Project Data'!CA8+'Raw Project Data'!CB8+'Raw Project Data'!CC8)/'Raw Project Data'!CD8))</f>
        <v>#DIV/0!</v>
      </c>
      <c r="R9" s="225" t="str">
        <f>IF('Raw Project Data'!C8="RRH","N/A",(('Raw Project Data'!CE8+'Raw Project Data'!CL8)/(('Raw Project Data'!CK8+'Raw Project Data'!CE8)-'Raw Project Data'!CM8)))</f>
        <v>N/A</v>
      </c>
      <c r="S9" s="228" t="str">
        <f>IF('Raw Project Data'!C8="PSH","N/A",IF('Raw Project Data'!CK8=0,"No Exits",'Raw Project Data'!CN8))</f>
        <v>No Exits</v>
      </c>
      <c r="T9" s="225" t="str">
        <f>IF('Raw Project Data'!CK8=0,"No Exits",(('Raw Project Data'!CG8+'Raw Project Data'!CH8+'Raw Project Data'!CJ8)/('Raw Project Data'!CK8)))</f>
        <v>No Exits</v>
      </c>
      <c r="U9" s="508" t="str">
        <f>IF('Raw Project Data'!Q8=0,"No Exits",('Raw Project Data'!P8/('Raw Project Data'!R8+'Raw Project Data'!S8+'Raw Project Data'!T8+'Raw Project Data'!U8)))</f>
        <v>No Exits</v>
      </c>
      <c r="V9" s="225" t="str">
        <f>IF(('Raw Project Data'!AB8+'Raw Project Data'!AC8+'Raw Project Data'!AD8+'Raw Project Data'!AE8+'Raw Project Data'!AF8)=0,"No Entries",(('Raw Project Data'!AA8+'Raw Project Data'!AB8+'Raw Project Data'!AC8)/('Raw Project Data'!AA8+'Raw Project Data'!AB8+'Raw Project Data'!AC8+'Raw Project Data'!AD8+'Raw Project Data'!AE8+'Raw Project Data'!AF8)))</f>
        <v>No Entries</v>
      </c>
      <c r="W9" s="225">
        <f>'Raw Project Data'!J8</f>
        <v>0</v>
      </c>
      <c r="X9" s="229">
        <f>'Raw Project Data'!V8</f>
        <v>0</v>
      </c>
      <c r="Y9" s="332">
        <f>'Raw Project Data'!W8</f>
        <v>0</v>
      </c>
      <c r="Z9" s="229">
        <f>'Raw Project Data'!X8</f>
        <v>0</v>
      </c>
      <c r="AA9" s="225" t="e">
        <f>('Raw Project Data'!AR8+'Raw Project Data'!AS8+'Raw Project Data'!AT8+'Raw Project Data'!AU8)/('Raw Project Data'!AV8+'Raw Project Data'!AW8-'Raw Project Data'!AX8-'Raw Project Data'!AY8)</f>
        <v>#DIV/0!</v>
      </c>
      <c r="AB9" s="230" t="e">
        <f>('Raw Project Data'!AZ8)/('Raw Project Data'!BB8-'Raw Project Data'!BA8)</f>
        <v>#DIV/0!</v>
      </c>
      <c r="AC9" s="230" t="e">
        <f>('Raw Project Data'!BC8)/('Raw Project Data'!BF8-'Raw Project Data'!BE8)</f>
        <v>#DIV/0!</v>
      </c>
      <c r="AD9" s="230" t="e">
        <f>'Raw Project Data'!AN8/('Raw Project Data'!Z8-'Raw Project Data'!AQ8)</f>
        <v>#DIV/0!</v>
      </c>
      <c r="AE9" s="333" t="e">
        <f>('Raw Project Data'!AO8+'Raw Project Data'!AP8)/('Raw Project Data'!Z8-'Raw Project Data'!AQ8)</f>
        <v>#DIV/0!</v>
      </c>
      <c r="AF9" s="231"/>
      <c r="AG9" s="232" t="e">
        <f t="shared" si="0"/>
        <v>#DIV/0!</v>
      </c>
      <c r="AH9" s="232" t="e">
        <f t="shared" si="1"/>
        <v>#DIV/0!</v>
      </c>
      <c r="AI9" s="232" t="e">
        <f t="shared" si="2"/>
        <v>#DIV/0!</v>
      </c>
      <c r="AJ9" s="232" t="str">
        <f t="shared" si="8"/>
        <v>N/A</v>
      </c>
      <c r="AK9" s="233">
        <f t="shared" si="9"/>
        <v>5</v>
      </c>
      <c r="AL9" s="232" t="e">
        <f>IF(M9="N/A","N/A",IF('Raw Project Data'!C8="PSH",(IF(M9&gt;=0.15,10,IF(M9&gt;=0.1,6,IF(M9&gt;=0.05,3,0)))),(IF(M9&gt;=0.2,10,IF(M9&gt;=0.1,6,IF(M9&gt;=0.05,3,0))))))</f>
        <v>#DIV/0!</v>
      </c>
      <c r="AM9" s="232" t="e">
        <f>IF(N9="N/A","N/A",IF('Raw Project Data'!C8="PSH",(IF(N9&gt;=0.7,5,IF(N9&gt;=0.55,3,IF(N9&gt;=0.4,1,0)))),(IF(N9&gt;=0.15,5,IF(N9&gt;=0.1,3,IF(N9&gt;=0.05,1,0))))))</f>
        <v>#DIV/0!</v>
      </c>
      <c r="AN9" s="232" t="e">
        <f>IF(O9="N/A","N/A",IF('Raw Project Data'!C8="PSH",(IF(O9&gt;=0.15,5,IF(O9&gt;=0.1,3,IF(O9&gt;=0.05,1,0)))),(IF(O9&gt;=0.7,5,IF(O9&gt;=0.5,3,IF(O9&gt;=0.35,1,0))))))</f>
        <v>#DIV/0!</v>
      </c>
      <c r="AO9" s="232" t="e">
        <f>IF(P9="N/A","N/A",IF('Raw Project Data'!C8="PSH",(IF(P9&gt;=0.65,3,IF(P9&gt;=0.5,2,IF(P9&gt;=0.35,1,0)))),(IF(P9&gt;=0.55,3,IF(P9&gt;=0.4,2,IF(P9&gt;=0.25,1,0))))))</f>
        <v>#DIV/0!</v>
      </c>
      <c r="AP9" s="234" t="e">
        <f t="shared" si="10"/>
        <v>#DIV/0!</v>
      </c>
      <c r="AQ9" s="234" t="str">
        <f t="shared" si="11"/>
        <v>N/A</v>
      </c>
      <c r="AR9" s="234" t="str">
        <f t="shared" si="12"/>
        <v>N/A</v>
      </c>
      <c r="AS9" s="234" t="str">
        <f t="shared" si="13"/>
        <v>N/A</v>
      </c>
      <c r="AT9" s="511" t="str">
        <f t="shared" si="14"/>
        <v>N/A</v>
      </c>
      <c r="AU9" s="234" t="str">
        <f t="shared" si="3"/>
        <v>N/A</v>
      </c>
      <c r="AV9" s="234">
        <f t="shared" si="4"/>
        <v>0</v>
      </c>
      <c r="AW9" s="234">
        <f t="shared" si="5"/>
        <v>0</v>
      </c>
      <c r="AX9" s="234">
        <f t="shared" si="6"/>
        <v>0</v>
      </c>
      <c r="AY9" s="234">
        <f t="shared" si="15"/>
        <v>0</v>
      </c>
      <c r="AZ9" s="235" t="e">
        <f t="shared" si="7"/>
        <v>#DIV/0!</v>
      </c>
      <c r="BA9" s="235" t="e">
        <f t="shared" si="7"/>
        <v>#DIV/0!</v>
      </c>
      <c r="BB9" s="235" t="e">
        <f t="shared" si="7"/>
        <v>#DIV/0!</v>
      </c>
      <c r="BC9" s="235" t="e">
        <f t="shared" si="7"/>
        <v>#DIV/0!</v>
      </c>
      <c r="BD9" s="235" t="e">
        <f t="shared" si="7"/>
        <v>#DIV/0!</v>
      </c>
    </row>
    <row r="10" spans="1:56" s="219" customFormat="1" ht="12.75" x14ac:dyDescent="0.25">
      <c r="A10" s="240" t="s">
        <v>402</v>
      </c>
      <c r="B10" s="240" t="s">
        <v>285</v>
      </c>
      <c r="C10" s="241" t="s">
        <v>6</v>
      </c>
      <c r="D10" s="242" t="str">
        <f>'Raw Project Data'!G9</f>
        <v>Site-Based</v>
      </c>
      <c r="E10" s="240" t="s">
        <v>437</v>
      </c>
      <c r="F10" s="240" t="s">
        <v>610</v>
      </c>
      <c r="G10" s="481" t="s">
        <v>553</v>
      </c>
      <c r="H10" s="225" t="e">
        <f>'Raw Project Data'!N9/'Raw Project Data'!O9</f>
        <v>#DIV/0!</v>
      </c>
      <c r="I10" s="225" t="e">
        <f>AVERAGE('Raw Project Data'!AL9:AM9)/'Raw Project Data'!H9</f>
        <v>#DIV/0!</v>
      </c>
      <c r="J10" s="225" t="e">
        <f>'Raw Project Data'!BD9/('Raw Project Data'!BF9-'Raw Project Data'!BE9)</f>
        <v>#DIV/0!</v>
      </c>
      <c r="K10" s="225" t="e">
        <f>IF('Raw Project Data'!C9="RRH","N/A",('Raw Project Data'!CO9/('Raw Project Data'!CQ9-'Raw Project Data'!CP9)))</f>
        <v>#DIV/0!</v>
      </c>
      <c r="L10" s="226">
        <f>'Raw Project Data'!CF9</f>
        <v>0</v>
      </c>
      <c r="M10" s="225" t="e">
        <f>(('Raw Project Data'!BP9+'Raw Project Data'!BR9)/('Raw Project Data'!BJ9+'Raw Project Data'!BK9-'Raw Project Data'!BI9-'Raw Project Data'!BG9-'Raw Project Data'!BH9))</f>
        <v>#DIV/0!</v>
      </c>
      <c r="N10" s="225" t="e">
        <f>(('Raw Project Data'!BQ9+'Raw Project Data'!BS9)/('Raw Project Data'!BJ9+'Raw Project Data'!BK9-'Raw Project Data'!BI9-'Raw Project Data'!BG9-'Raw Project Data'!BH9))</f>
        <v>#DIV/0!</v>
      </c>
      <c r="O10" s="225" t="e">
        <f>('Raw Project Data'!BL9+'Raw Project Data'!BM9+'Raw Project Data'!BN9+'Raw Project Data'!BO9)/('Raw Project Data'!BJ9+'Raw Project Data'!BK9-'Raw Project Data'!BI9-'Raw Project Data'!BG9-'Raw Project Data'!BH9)</f>
        <v>#DIV/0!</v>
      </c>
      <c r="P10" s="225" t="e">
        <f>(('Raw Project Data'!BT9+'Raw Project Data'!BU9)/('Raw Project Data'!BX9+'Raw Project Data'!BY9-'Raw Project Data'!BI9-'Raw Project Data'!BV9-'Raw Project Data'!BW9))</f>
        <v>#DIV/0!</v>
      </c>
      <c r="Q10" s="227" t="str">
        <f>(IF('Raw Project Data'!C9="PSH","N/A",('Raw Project Data'!BZ9+'Raw Project Data'!CA9+'Raw Project Data'!CB9+'Raw Project Data'!CC9)/'Raw Project Data'!CD9))</f>
        <v>N/A</v>
      </c>
      <c r="R10" s="225" t="e">
        <f>IF('Raw Project Data'!C9="RRH","N/A",(('Raw Project Data'!CE9+'Raw Project Data'!CL9)/(('Raw Project Data'!CK9+'Raw Project Data'!CE9)-'Raw Project Data'!CM9)))</f>
        <v>#DIV/0!</v>
      </c>
      <c r="S10" s="228" t="str">
        <f>IF('Raw Project Data'!C9="PSH","N/A",IF('Raw Project Data'!CK9=0,"No Exits",'Raw Project Data'!CN9))</f>
        <v>N/A</v>
      </c>
      <c r="T10" s="225" t="str">
        <f>IF('Raw Project Data'!CK9=0,"No Exits",(('Raw Project Data'!CG9+'Raw Project Data'!CH9+'Raw Project Data'!CJ9)/('Raw Project Data'!CK9)))</f>
        <v>No Exits</v>
      </c>
      <c r="U10" s="508" t="str">
        <f>IF('Raw Project Data'!Q9=0,"No Exits",('Raw Project Data'!P9/('Raw Project Data'!R9+'Raw Project Data'!S9+'Raw Project Data'!T9+'Raw Project Data'!U9)))</f>
        <v>No Exits</v>
      </c>
      <c r="V10" s="225" t="str">
        <f>IF(('Raw Project Data'!AB9+'Raw Project Data'!AC9+'Raw Project Data'!AD9+'Raw Project Data'!AE9+'Raw Project Data'!AF9)=0,"No Entries",(('Raw Project Data'!AA9+'Raw Project Data'!AB9+'Raw Project Data'!AC9)/('Raw Project Data'!AA9+'Raw Project Data'!AB9+'Raw Project Data'!AC9+'Raw Project Data'!AD9+'Raw Project Data'!AE9+'Raw Project Data'!AF9)))</f>
        <v>No Entries</v>
      </c>
      <c r="W10" s="225">
        <f>'Raw Project Data'!J9</f>
        <v>0</v>
      </c>
      <c r="X10" s="229">
        <f>'Raw Project Data'!V9</f>
        <v>0</v>
      </c>
      <c r="Y10" s="332">
        <f>'Raw Project Data'!W9</f>
        <v>0</v>
      </c>
      <c r="Z10" s="229">
        <f>'Raw Project Data'!X9</f>
        <v>0</v>
      </c>
      <c r="AA10" s="225" t="e">
        <f>('Raw Project Data'!AR9+'Raw Project Data'!AS9+'Raw Project Data'!AT9+'Raw Project Data'!AU9)/('Raw Project Data'!AV9+'Raw Project Data'!AW9-'Raw Project Data'!AX9-'Raw Project Data'!AY9)</f>
        <v>#DIV/0!</v>
      </c>
      <c r="AB10" s="230" t="e">
        <f>('Raw Project Data'!AZ9)/('Raw Project Data'!BB9-'Raw Project Data'!BA9)</f>
        <v>#DIV/0!</v>
      </c>
      <c r="AC10" s="230" t="e">
        <f>('Raw Project Data'!BC9)/('Raw Project Data'!BF9-'Raw Project Data'!BE9)</f>
        <v>#DIV/0!</v>
      </c>
      <c r="AD10" s="230" t="e">
        <f>'Raw Project Data'!AN9/('Raw Project Data'!Z9-'Raw Project Data'!AQ9)</f>
        <v>#DIV/0!</v>
      </c>
      <c r="AE10" s="333" t="e">
        <f>('Raw Project Data'!AO9+'Raw Project Data'!AP9)/('Raw Project Data'!Z9-'Raw Project Data'!AQ9)</f>
        <v>#DIV/0!</v>
      </c>
      <c r="AF10" s="231"/>
      <c r="AG10" s="232" t="e">
        <f t="shared" si="0"/>
        <v>#DIV/0!</v>
      </c>
      <c r="AH10" s="232" t="e">
        <f t="shared" si="1"/>
        <v>#DIV/0!</v>
      </c>
      <c r="AI10" s="232" t="e">
        <f t="shared" si="2"/>
        <v>#DIV/0!</v>
      </c>
      <c r="AJ10" s="232" t="e">
        <f t="shared" si="8"/>
        <v>#DIV/0!</v>
      </c>
      <c r="AK10" s="233">
        <f t="shared" si="9"/>
        <v>5</v>
      </c>
      <c r="AL10" s="232" t="e">
        <f>IF(M10="N/A","N/A",IF('Raw Project Data'!C9="PSH",(IF(M10&gt;=0.15,10,IF(M10&gt;=0.1,6,IF(M10&gt;=0.05,3,0)))),(IF(M10&gt;=0.2,10,IF(M10&gt;=0.1,6,IF(M10&gt;=0.05,3,0))))))</f>
        <v>#DIV/0!</v>
      </c>
      <c r="AM10" s="232" t="e">
        <f>IF(N10="N/A","N/A",IF('Raw Project Data'!C9="PSH",(IF(N10&gt;=0.7,5,IF(N10&gt;=0.55,3,IF(N10&gt;=0.4,1,0)))),(IF(N10&gt;=0.15,5,IF(N10&gt;=0.1,3,IF(N10&gt;=0.05,1,0))))))</f>
        <v>#DIV/0!</v>
      </c>
      <c r="AN10" s="232" t="e">
        <f>IF(O10="N/A","N/A",IF('Raw Project Data'!C9="PSH",(IF(O10&gt;=0.15,5,IF(O10&gt;=0.1,3,IF(O10&gt;=0.05,1,0)))),(IF(O10&gt;=0.7,5,IF(O10&gt;=0.5,3,IF(O10&gt;=0.35,1,0))))))</f>
        <v>#DIV/0!</v>
      </c>
      <c r="AO10" s="232" t="e">
        <f>IF(P10="N/A","N/A",IF('Raw Project Data'!C9="PSH",(IF(P10&gt;=0.65,3,IF(P10&gt;=0.5,2,IF(P10&gt;=0.35,1,0)))),(IF(P10&gt;=0.55,3,IF(P10&gt;=0.4,2,IF(P10&gt;=0.25,1,0))))))</f>
        <v>#DIV/0!</v>
      </c>
      <c r="AP10" s="234" t="str">
        <f t="shared" si="10"/>
        <v>N/A</v>
      </c>
      <c r="AQ10" s="234" t="e">
        <f t="shared" si="11"/>
        <v>#DIV/0!</v>
      </c>
      <c r="AR10" s="234" t="str">
        <f t="shared" si="12"/>
        <v>N/A</v>
      </c>
      <c r="AS10" s="234" t="str">
        <f t="shared" si="13"/>
        <v>N/A</v>
      </c>
      <c r="AT10" s="511" t="str">
        <f t="shared" si="14"/>
        <v>N/A</v>
      </c>
      <c r="AU10" s="234" t="str">
        <f t="shared" si="3"/>
        <v>N/A</v>
      </c>
      <c r="AV10" s="234">
        <f t="shared" si="4"/>
        <v>0</v>
      </c>
      <c r="AW10" s="234">
        <f t="shared" si="5"/>
        <v>0</v>
      </c>
      <c r="AX10" s="234">
        <f t="shared" si="6"/>
        <v>0</v>
      </c>
      <c r="AY10" s="234">
        <f t="shared" si="15"/>
        <v>0</v>
      </c>
      <c r="AZ10" s="235" t="e">
        <f t="shared" si="7"/>
        <v>#DIV/0!</v>
      </c>
      <c r="BA10" s="235" t="e">
        <f t="shared" si="7"/>
        <v>#DIV/0!</v>
      </c>
      <c r="BB10" s="235" t="e">
        <f t="shared" si="7"/>
        <v>#DIV/0!</v>
      </c>
      <c r="BC10" s="235" t="e">
        <f t="shared" si="7"/>
        <v>#DIV/0!</v>
      </c>
      <c r="BD10" s="235" t="e">
        <f t="shared" si="7"/>
        <v>#DIV/0!</v>
      </c>
    </row>
    <row r="11" spans="1:56" x14ac:dyDescent="0.25">
      <c r="A11" s="240" t="s">
        <v>478</v>
      </c>
      <c r="B11" s="240" t="s">
        <v>285</v>
      </c>
      <c r="C11" s="241" t="s">
        <v>5</v>
      </c>
      <c r="D11" s="242" t="str">
        <f>'Raw Project Data'!G10</f>
        <v>Tenant-Based</v>
      </c>
      <c r="E11" s="240" t="s">
        <v>436</v>
      </c>
      <c r="F11" s="240" t="s">
        <v>608</v>
      </c>
      <c r="G11" s="481" t="s">
        <v>554</v>
      </c>
      <c r="H11" s="225" t="e">
        <f>'Raw Project Data'!N10/'Raw Project Data'!O10</f>
        <v>#DIV/0!</v>
      </c>
      <c r="I11" s="225" t="e">
        <f>AVERAGE('Raw Project Data'!AL10:AM10)/'Raw Project Data'!H10</f>
        <v>#DIV/0!</v>
      </c>
      <c r="J11" s="225" t="e">
        <f>'Raw Project Data'!BD10/('Raw Project Data'!BF10-'Raw Project Data'!BE10)</f>
        <v>#DIV/0!</v>
      </c>
      <c r="K11" s="225" t="str">
        <f>IF('Raw Project Data'!C10="RRH","N/A",('Raw Project Data'!CO10/('Raw Project Data'!CQ10-'Raw Project Data'!CP10)))</f>
        <v>N/A</v>
      </c>
      <c r="L11" s="226">
        <f>'Raw Project Data'!CF10</f>
        <v>0</v>
      </c>
      <c r="M11" s="225" t="e">
        <f>(('Raw Project Data'!BP10+'Raw Project Data'!BR10)/('Raw Project Data'!BJ10+'Raw Project Data'!BK10-'Raw Project Data'!BI10-'Raw Project Data'!BG10-'Raw Project Data'!BH10))</f>
        <v>#DIV/0!</v>
      </c>
      <c r="N11" s="225" t="e">
        <f>(('Raw Project Data'!BQ10+'Raw Project Data'!BS10)/('Raw Project Data'!BJ10+'Raw Project Data'!BK10-'Raw Project Data'!BI10-'Raw Project Data'!BG10-'Raw Project Data'!BH10))</f>
        <v>#DIV/0!</v>
      </c>
      <c r="O11" s="225" t="e">
        <f>('Raw Project Data'!BL10+'Raw Project Data'!BM10+'Raw Project Data'!BN10+'Raw Project Data'!BO10)/('Raw Project Data'!BJ10+'Raw Project Data'!BK10-'Raw Project Data'!BI10-'Raw Project Data'!BG10-'Raw Project Data'!BH10)</f>
        <v>#DIV/0!</v>
      </c>
      <c r="P11" s="225" t="e">
        <f>(('Raw Project Data'!BT10+'Raw Project Data'!BU10)/('Raw Project Data'!BX10+'Raw Project Data'!BY10-'Raw Project Data'!BI10-'Raw Project Data'!BV10-'Raw Project Data'!BW10))</f>
        <v>#DIV/0!</v>
      </c>
      <c r="Q11" s="227" t="e">
        <f>(IF('Raw Project Data'!C10="PSH","N/A",('Raw Project Data'!BZ10+'Raw Project Data'!CA10+'Raw Project Data'!CB10+'Raw Project Data'!CC10)/'Raw Project Data'!CD10))</f>
        <v>#DIV/0!</v>
      </c>
      <c r="R11" s="225" t="str">
        <f>IF('Raw Project Data'!C10="RRH","N/A",(('Raw Project Data'!CE10+'Raw Project Data'!CL10)/(('Raw Project Data'!CK10+'Raw Project Data'!CE10)-'Raw Project Data'!CM10)))</f>
        <v>N/A</v>
      </c>
      <c r="S11" s="228" t="str">
        <f>IF('Raw Project Data'!C10="PSH","N/A",IF('Raw Project Data'!CK10=0,"No Exits",'Raw Project Data'!CN10))</f>
        <v>No Exits</v>
      </c>
      <c r="T11" s="225" t="str">
        <f>IF('Raw Project Data'!CK10=0,"No Exits",(('Raw Project Data'!CG10+'Raw Project Data'!CH10+'Raw Project Data'!CJ10)/('Raw Project Data'!CK10)))</f>
        <v>No Exits</v>
      </c>
      <c r="U11" s="508" t="str">
        <f>IF('Raw Project Data'!Q10=0,"No Exits",('Raw Project Data'!P10/('Raw Project Data'!R10+'Raw Project Data'!S10+'Raw Project Data'!T10+'Raw Project Data'!U10)))</f>
        <v>No Exits</v>
      </c>
      <c r="V11" s="225" t="str">
        <f>IF(('Raw Project Data'!AB10+'Raw Project Data'!AC10+'Raw Project Data'!AD10+'Raw Project Data'!AE10+'Raw Project Data'!AF10)=0,"No Entries",(('Raw Project Data'!AA10+'Raw Project Data'!AB10+'Raw Project Data'!AC10)/('Raw Project Data'!AA10+'Raw Project Data'!AB10+'Raw Project Data'!AC10+'Raw Project Data'!AD10+'Raw Project Data'!AE10+'Raw Project Data'!AF10)))</f>
        <v>No Entries</v>
      </c>
      <c r="W11" s="225">
        <f>'Raw Project Data'!J10</f>
        <v>0</v>
      </c>
      <c r="X11" s="229">
        <f>'Raw Project Data'!V10</f>
        <v>0</v>
      </c>
      <c r="Y11" s="332">
        <f>'Raw Project Data'!W10</f>
        <v>0</v>
      </c>
      <c r="Z11" s="229">
        <f>'Raw Project Data'!X10</f>
        <v>0</v>
      </c>
      <c r="AA11" s="225" t="e">
        <f>('Raw Project Data'!AR10+'Raw Project Data'!AS10+'Raw Project Data'!AT10+'Raw Project Data'!AU10)/('Raw Project Data'!AV10+'Raw Project Data'!AW10-'Raw Project Data'!AX10-'Raw Project Data'!AY10)</f>
        <v>#DIV/0!</v>
      </c>
      <c r="AB11" s="230" t="e">
        <f>('Raw Project Data'!AZ10)/('Raw Project Data'!BB10-'Raw Project Data'!BA10)</f>
        <v>#DIV/0!</v>
      </c>
      <c r="AC11" s="230" t="e">
        <f>('Raw Project Data'!BC10)/('Raw Project Data'!BF10-'Raw Project Data'!BE10)</f>
        <v>#DIV/0!</v>
      </c>
      <c r="AD11" s="230" t="e">
        <f>'Raw Project Data'!AN10/('Raw Project Data'!Z10-'Raw Project Data'!AQ10)</f>
        <v>#DIV/0!</v>
      </c>
      <c r="AE11" s="333" t="e">
        <f>('Raw Project Data'!AO10+'Raw Project Data'!AP10)/('Raw Project Data'!Z10-'Raw Project Data'!AQ10)</f>
        <v>#DIV/0!</v>
      </c>
      <c r="AF11" s="231"/>
      <c r="AG11" s="232" t="e">
        <f t="shared" si="0"/>
        <v>#DIV/0!</v>
      </c>
      <c r="AH11" s="232" t="e">
        <f t="shared" si="1"/>
        <v>#DIV/0!</v>
      </c>
      <c r="AI11" s="232" t="e">
        <f t="shared" si="2"/>
        <v>#DIV/0!</v>
      </c>
      <c r="AJ11" s="232" t="str">
        <f t="shared" si="8"/>
        <v>N/A</v>
      </c>
      <c r="AK11" s="233">
        <f t="shared" si="9"/>
        <v>5</v>
      </c>
      <c r="AL11" s="232" t="e">
        <f>IF(M11="N/A","N/A",IF('Raw Project Data'!C10="PSH",(IF(M11&gt;=0.15,10,IF(M11&gt;=0.1,6,IF(M11&gt;=0.05,3,0)))),(IF(M11&gt;=0.2,10,IF(M11&gt;=0.1,6,IF(M11&gt;=0.05,3,0))))))</f>
        <v>#DIV/0!</v>
      </c>
      <c r="AM11" s="232" t="e">
        <f>IF(N11="N/A","N/A",IF('Raw Project Data'!C10="PSH",(IF(N11&gt;=0.7,5,IF(N11&gt;=0.55,3,IF(N11&gt;=0.4,1,0)))),(IF(N11&gt;=0.15,5,IF(N11&gt;=0.1,3,IF(N11&gt;=0.05,1,0))))))</f>
        <v>#DIV/0!</v>
      </c>
      <c r="AN11" s="232" t="e">
        <f>IF(O11="N/A","N/A",IF('Raw Project Data'!C10="PSH",(IF(O11&gt;=0.15,5,IF(O11&gt;=0.1,3,IF(O11&gt;=0.05,1,0)))),(IF(O11&gt;=0.7,5,IF(O11&gt;=0.5,3,IF(O11&gt;=0.35,1,0))))))</f>
        <v>#DIV/0!</v>
      </c>
      <c r="AO11" s="232" t="e">
        <f>IF(P11="N/A","N/A",IF('Raw Project Data'!C10="PSH",(IF(P11&gt;=0.65,3,IF(P11&gt;=0.5,2,IF(P11&gt;=0.35,1,0)))),(IF(P11&gt;=0.55,3,IF(P11&gt;=0.4,2,IF(P11&gt;=0.25,1,0))))))</f>
        <v>#DIV/0!</v>
      </c>
      <c r="AP11" s="234" t="e">
        <f t="shared" si="10"/>
        <v>#DIV/0!</v>
      </c>
      <c r="AQ11" s="234" t="str">
        <f t="shared" si="11"/>
        <v>N/A</v>
      </c>
      <c r="AR11" s="234" t="str">
        <f t="shared" si="12"/>
        <v>N/A</v>
      </c>
      <c r="AS11" s="234" t="str">
        <f t="shared" si="13"/>
        <v>N/A</v>
      </c>
      <c r="AT11" s="511" t="str">
        <f t="shared" si="14"/>
        <v>N/A</v>
      </c>
      <c r="AU11" s="234" t="str">
        <f t="shared" si="3"/>
        <v>N/A</v>
      </c>
      <c r="AV11" s="234">
        <f t="shared" si="4"/>
        <v>0</v>
      </c>
      <c r="AW11" s="234">
        <f t="shared" si="5"/>
        <v>0</v>
      </c>
      <c r="AX11" s="234">
        <f t="shared" si="6"/>
        <v>0</v>
      </c>
      <c r="AY11" s="234">
        <f t="shared" si="15"/>
        <v>0</v>
      </c>
      <c r="AZ11" s="235" t="e">
        <f>AA11*2</f>
        <v>#DIV/0!</v>
      </c>
      <c r="BA11" s="235" t="e">
        <f t="shared" ref="BA11" si="16">AB11*2</f>
        <v>#DIV/0!</v>
      </c>
      <c r="BB11" s="235" t="e">
        <f t="shared" ref="BB11" si="17">AC11*2</f>
        <v>#DIV/0!</v>
      </c>
      <c r="BC11" s="235" t="e">
        <f>AD11*2</f>
        <v>#DIV/0!</v>
      </c>
      <c r="BD11" s="235" t="e">
        <f>AE11*2</f>
        <v>#DIV/0!</v>
      </c>
    </row>
  </sheetData>
  <mergeCells count="2">
    <mergeCell ref="H2:AE2"/>
    <mergeCell ref="AG2:BD2"/>
  </mergeCells>
  <conditionalFormatting sqref="A5:A11">
    <cfRule type="expression" dxfId="21" priority="1">
      <formula>(#REF!&gt;1)</formula>
    </cfRule>
  </conditionalFormatting>
  <conditionalFormatting sqref="H5:AE11">
    <cfRule type="containsText" dxfId="20" priority="2" operator="containsText" text="Error">
      <formula>NOT(ISERROR(SEARCH("Error",H5)))</formula>
    </cfRule>
  </conditionalFormatting>
  <dataValidations count="1">
    <dataValidation type="list" allowBlank="1" showInputMessage="1" showErrorMessage="1" sqref="B5:B10" xr:uid="{F3187DDD-7CEB-4700-8393-FEE1B49DE55B}">
      <formula1>"PH, TH, Joint TH &amp; PH-RRH, HMIS, SSO, TRA, PRA, SRA, S+C/SRO"</formula1>
    </dataValidation>
  </dataValidation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1E3F-CC9E-4DB6-A637-B44FB2554457}">
  <sheetPr>
    <tabColor theme="7" tint="0.39997558519241921"/>
  </sheetPr>
  <dimension ref="A1:CQ12"/>
  <sheetViews>
    <sheetView workbookViewId="0">
      <pane xSplit="8" ySplit="3" topLeftCell="P4" activePane="bottomRight" state="frozen"/>
      <selection pane="topRight" activeCell="I1" sqref="I1"/>
      <selection pane="bottomLeft" activeCell="A4" sqref="A4"/>
      <selection pane="bottomRight" activeCell="A2" sqref="A2"/>
    </sheetView>
  </sheetViews>
  <sheetFormatPr defaultColWidth="8.7109375" defaultRowHeight="15" x14ac:dyDescent="0.25"/>
  <cols>
    <col min="1" max="1" width="9.7109375" style="48" customWidth="1"/>
    <col min="2" max="2" width="11" style="48" customWidth="1"/>
    <col min="3" max="3" width="8.7109375" style="48"/>
    <col min="4" max="4" width="13.85546875" style="48" customWidth="1"/>
    <col min="5" max="5" width="21.7109375" style="48" customWidth="1"/>
    <col min="6" max="6" width="36.7109375" style="504" customWidth="1"/>
    <col min="7" max="7" width="19.140625" style="48" customWidth="1"/>
    <col min="8" max="8" width="13.140625" style="48" bestFit="1" customWidth="1"/>
    <col min="9" max="9" width="12.140625" style="48" customWidth="1"/>
    <col min="10" max="10" width="20.5703125" style="48" customWidth="1"/>
    <col min="11" max="11" width="17.5703125" style="48" bestFit="1" customWidth="1"/>
    <col min="12" max="13" width="16.140625" style="48" customWidth="1"/>
    <col min="14" max="14" width="14.7109375" style="48" customWidth="1"/>
    <col min="15" max="15" width="21.140625" style="48" customWidth="1"/>
    <col min="16" max="16" width="14.5703125" style="48" customWidth="1"/>
    <col min="17" max="17" width="16.5703125" style="48" customWidth="1"/>
    <col min="18" max="19" width="18.28515625" style="48" customWidth="1"/>
    <col min="20" max="21" width="17.85546875" style="48" customWidth="1"/>
    <col min="22" max="23" width="19.5703125" style="48" customWidth="1"/>
    <col min="24" max="24" width="14.5703125" style="48" customWidth="1"/>
    <col min="25" max="25" width="21" style="48" customWidth="1"/>
    <col min="26" max="34" width="16.140625" style="48" customWidth="1"/>
    <col min="35" max="35" width="23.7109375" style="48" customWidth="1"/>
    <col min="36" max="56" width="16.140625" style="48" customWidth="1"/>
    <col min="57" max="57" width="21.28515625" style="48" customWidth="1"/>
    <col min="58" max="58" width="16.140625" style="48" customWidth="1"/>
    <col min="59" max="59" width="30.140625" style="48" customWidth="1"/>
    <col min="60" max="60" width="36.140625" style="48" customWidth="1"/>
    <col min="61" max="63" width="16.140625" style="48" customWidth="1"/>
    <col min="64" max="64" width="15.28515625" style="48" customWidth="1"/>
    <col min="65" max="67" width="16.140625" style="48" customWidth="1"/>
    <col min="68" max="68" width="29" style="48" customWidth="1"/>
    <col min="69" max="69" width="29.85546875" style="48" bestFit="1" customWidth="1"/>
    <col min="70" max="70" width="26.28515625" style="48" customWidth="1"/>
    <col min="71" max="71" width="29.140625" style="48" customWidth="1"/>
    <col min="72" max="89" width="16.140625" style="48" customWidth="1"/>
    <col min="90" max="90" width="17" style="48" customWidth="1"/>
    <col min="91" max="92" width="16.140625" style="48" customWidth="1"/>
    <col min="93" max="93" width="16" style="48" customWidth="1"/>
    <col min="94" max="94" width="13.28515625" style="48" customWidth="1"/>
    <col min="95" max="95" width="11.85546875" style="48" customWidth="1"/>
    <col min="96" max="16384" width="8.7109375" style="48"/>
  </cols>
  <sheetData>
    <row r="1" spans="1:95" s="98" customFormat="1" x14ac:dyDescent="0.25">
      <c r="A1" s="98">
        <v>1</v>
      </c>
      <c r="B1" s="98">
        <v>2</v>
      </c>
      <c r="C1" s="98">
        <v>3</v>
      </c>
      <c r="D1" s="98">
        <v>4</v>
      </c>
      <c r="E1" s="98">
        <v>5</v>
      </c>
      <c r="F1" s="109">
        <v>6</v>
      </c>
      <c r="G1" s="98">
        <v>7</v>
      </c>
      <c r="H1" s="98">
        <v>8</v>
      </c>
      <c r="I1" s="98">
        <v>9</v>
      </c>
      <c r="J1" s="98">
        <v>10</v>
      </c>
      <c r="K1" s="98">
        <v>11</v>
      </c>
      <c r="L1" s="98">
        <v>12</v>
      </c>
      <c r="M1" s="98">
        <v>13</v>
      </c>
      <c r="N1" s="98">
        <v>14</v>
      </c>
      <c r="O1" s="109">
        <v>15</v>
      </c>
      <c r="P1" s="98">
        <v>16</v>
      </c>
      <c r="Q1" s="98">
        <v>17</v>
      </c>
      <c r="R1" s="98">
        <v>18</v>
      </c>
      <c r="S1" s="109">
        <v>19</v>
      </c>
      <c r="T1" s="98">
        <v>20</v>
      </c>
      <c r="U1" s="98">
        <v>21</v>
      </c>
      <c r="V1" s="98">
        <v>22</v>
      </c>
      <c r="W1" s="109">
        <v>23</v>
      </c>
      <c r="X1" s="98">
        <v>24</v>
      </c>
      <c r="Y1" s="98">
        <v>25</v>
      </c>
      <c r="Z1" s="98">
        <v>26</v>
      </c>
      <c r="AA1" s="109">
        <v>27</v>
      </c>
      <c r="AB1" s="98">
        <v>28</v>
      </c>
      <c r="AC1" s="98">
        <v>29</v>
      </c>
      <c r="AD1" s="98">
        <v>30</v>
      </c>
      <c r="AE1" s="109">
        <v>31</v>
      </c>
      <c r="AF1" s="98">
        <v>32</v>
      </c>
      <c r="AG1" s="98">
        <v>33</v>
      </c>
      <c r="AH1" s="98">
        <v>34</v>
      </c>
      <c r="AI1" s="109">
        <v>35</v>
      </c>
      <c r="AJ1" s="98">
        <v>36</v>
      </c>
      <c r="AK1" s="98">
        <v>37</v>
      </c>
      <c r="AL1" s="98">
        <v>38</v>
      </c>
      <c r="AM1" s="109">
        <v>39</v>
      </c>
      <c r="AN1" s="98">
        <v>40</v>
      </c>
      <c r="AO1" s="98">
        <v>41</v>
      </c>
      <c r="AP1" s="98">
        <v>42</v>
      </c>
      <c r="AQ1" s="109">
        <v>43</v>
      </c>
      <c r="AR1" s="98">
        <v>44</v>
      </c>
      <c r="AS1" s="98">
        <v>45</v>
      </c>
      <c r="AT1" s="98">
        <v>46</v>
      </c>
      <c r="AU1" s="109">
        <v>47</v>
      </c>
      <c r="AV1" s="98">
        <v>48</v>
      </c>
      <c r="AW1" s="98">
        <v>49</v>
      </c>
      <c r="AX1" s="98">
        <v>50</v>
      </c>
      <c r="AY1" s="109">
        <v>51</v>
      </c>
      <c r="AZ1" s="98">
        <v>52</v>
      </c>
      <c r="BA1" s="98">
        <v>53</v>
      </c>
      <c r="BB1" s="98">
        <v>54</v>
      </c>
      <c r="BC1" s="109">
        <v>55</v>
      </c>
      <c r="BD1" s="98">
        <v>56</v>
      </c>
      <c r="BE1" s="98">
        <v>57</v>
      </c>
      <c r="BF1" s="98">
        <v>58</v>
      </c>
      <c r="BG1" s="109">
        <v>59</v>
      </c>
      <c r="BH1" s="98">
        <v>60</v>
      </c>
      <c r="BI1" s="98">
        <v>61</v>
      </c>
      <c r="BJ1" s="98">
        <v>62</v>
      </c>
      <c r="BK1" s="109">
        <v>63</v>
      </c>
      <c r="BL1" s="98">
        <v>64</v>
      </c>
      <c r="BM1" s="98">
        <v>65</v>
      </c>
      <c r="BN1" s="98">
        <v>66</v>
      </c>
      <c r="BO1" s="109">
        <v>67</v>
      </c>
      <c r="BP1" s="98">
        <v>70</v>
      </c>
      <c r="BQ1" s="109">
        <v>71</v>
      </c>
      <c r="BR1" s="98">
        <v>72</v>
      </c>
      <c r="BS1" s="98">
        <v>73</v>
      </c>
      <c r="BT1" s="98">
        <v>74</v>
      </c>
      <c r="BU1" s="109">
        <v>75</v>
      </c>
      <c r="BV1" s="98">
        <v>76</v>
      </c>
      <c r="BW1" s="98">
        <v>77</v>
      </c>
      <c r="BX1" s="98">
        <v>78</v>
      </c>
      <c r="BY1" s="109">
        <v>79</v>
      </c>
      <c r="BZ1" s="98">
        <v>80</v>
      </c>
      <c r="CA1" s="98">
        <v>81</v>
      </c>
      <c r="CB1" s="98">
        <v>82</v>
      </c>
      <c r="CC1" s="109">
        <v>83</v>
      </c>
      <c r="CD1" s="98">
        <v>84</v>
      </c>
      <c r="CE1" s="98">
        <v>85</v>
      </c>
      <c r="CF1" s="98">
        <v>86</v>
      </c>
      <c r="CG1" s="109">
        <v>87</v>
      </c>
      <c r="CH1" s="98">
        <v>88</v>
      </c>
      <c r="CI1" s="98">
        <v>89</v>
      </c>
      <c r="CJ1" s="98">
        <v>90</v>
      </c>
      <c r="CK1" s="109">
        <v>91</v>
      </c>
      <c r="CL1" s="98">
        <v>92</v>
      </c>
      <c r="CM1" s="98">
        <v>93</v>
      </c>
      <c r="CN1" s="98">
        <v>94</v>
      </c>
      <c r="CO1" s="109">
        <v>95</v>
      </c>
      <c r="CP1" s="98">
        <v>96</v>
      </c>
      <c r="CQ1" s="98">
        <v>97</v>
      </c>
    </row>
    <row r="2" spans="1:95" s="95" customFormat="1" ht="117" customHeight="1" x14ac:dyDescent="0.25">
      <c r="F2" s="108"/>
      <c r="G2" s="421" t="s">
        <v>366</v>
      </c>
      <c r="H2" s="422" t="s">
        <v>368</v>
      </c>
      <c r="I2" s="422" t="s">
        <v>284</v>
      </c>
      <c r="J2" s="422" t="s">
        <v>283</v>
      </c>
      <c r="K2" s="422" t="s">
        <v>259</v>
      </c>
      <c r="L2" s="422" t="s">
        <v>449</v>
      </c>
      <c r="M2" s="422" t="s">
        <v>448</v>
      </c>
      <c r="N2" s="422" t="s">
        <v>484</v>
      </c>
      <c r="O2" s="422" t="s">
        <v>485</v>
      </c>
      <c r="P2" s="512" t="s">
        <v>632</v>
      </c>
      <c r="Q2" s="512" t="s">
        <v>634</v>
      </c>
      <c r="R2" s="512" t="s">
        <v>633</v>
      </c>
      <c r="S2" s="512" t="s">
        <v>635</v>
      </c>
      <c r="T2" s="512" t="s">
        <v>636</v>
      </c>
      <c r="U2" s="512" t="s">
        <v>637</v>
      </c>
      <c r="V2" s="422" t="s">
        <v>486</v>
      </c>
      <c r="W2" s="423" t="s">
        <v>487</v>
      </c>
      <c r="X2" s="512" t="s">
        <v>631</v>
      </c>
      <c r="Y2" s="422" t="s">
        <v>406</v>
      </c>
      <c r="Z2" s="422" t="s">
        <v>405</v>
      </c>
      <c r="AA2" s="422" t="s">
        <v>503</v>
      </c>
      <c r="AB2" s="422" t="s">
        <v>408</v>
      </c>
      <c r="AC2" s="422" t="s">
        <v>409</v>
      </c>
      <c r="AD2" s="422" t="s">
        <v>410</v>
      </c>
      <c r="AE2" s="422" t="s">
        <v>411</v>
      </c>
      <c r="AF2" s="422" t="s">
        <v>412</v>
      </c>
      <c r="AG2" s="423" t="s">
        <v>287</v>
      </c>
      <c r="AH2" s="423" t="s">
        <v>307</v>
      </c>
      <c r="AI2" s="423" t="s">
        <v>288</v>
      </c>
      <c r="AJ2" s="422" t="s">
        <v>127</v>
      </c>
      <c r="AK2" s="422" t="s">
        <v>128</v>
      </c>
      <c r="AL2" s="422" t="s">
        <v>129</v>
      </c>
      <c r="AM2" s="422" t="s">
        <v>130</v>
      </c>
      <c r="AN2" s="422" t="s">
        <v>407</v>
      </c>
      <c r="AO2" s="422" t="s">
        <v>546</v>
      </c>
      <c r="AP2" s="422" t="s">
        <v>547</v>
      </c>
      <c r="AQ2" s="422" t="s">
        <v>533</v>
      </c>
      <c r="AR2" s="422" t="s">
        <v>489</v>
      </c>
      <c r="AS2" s="422" t="s">
        <v>490</v>
      </c>
      <c r="AT2" s="422" t="s">
        <v>491</v>
      </c>
      <c r="AU2" s="422" t="s">
        <v>492</v>
      </c>
      <c r="AV2" s="422" t="s">
        <v>493</v>
      </c>
      <c r="AW2" s="422" t="s">
        <v>494</v>
      </c>
      <c r="AX2" s="422" t="s">
        <v>495</v>
      </c>
      <c r="AY2" s="422" t="s">
        <v>496</v>
      </c>
      <c r="AZ2" s="424" t="s">
        <v>356</v>
      </c>
      <c r="BA2" s="424" t="s">
        <v>534</v>
      </c>
      <c r="BB2" s="424" t="s">
        <v>357</v>
      </c>
      <c r="BC2" s="424" t="s">
        <v>358</v>
      </c>
      <c r="BD2" s="422" t="s">
        <v>143</v>
      </c>
      <c r="BE2" s="422" t="s">
        <v>535</v>
      </c>
      <c r="BF2" s="422" t="s">
        <v>131</v>
      </c>
      <c r="BG2" s="422" t="s">
        <v>536</v>
      </c>
      <c r="BH2" s="422" t="s">
        <v>537</v>
      </c>
      <c r="BI2" s="422" t="s">
        <v>256</v>
      </c>
      <c r="BJ2" s="422" t="s">
        <v>144</v>
      </c>
      <c r="BK2" s="422" t="s">
        <v>145</v>
      </c>
      <c r="BL2" s="422" t="s">
        <v>623</v>
      </c>
      <c r="BM2" s="422" t="s">
        <v>624</v>
      </c>
      <c r="BN2" s="422" t="s">
        <v>626</v>
      </c>
      <c r="BO2" s="422" t="s">
        <v>625</v>
      </c>
      <c r="BP2" s="422" t="s">
        <v>137</v>
      </c>
      <c r="BQ2" s="422" t="s">
        <v>138</v>
      </c>
      <c r="BR2" s="422" t="s">
        <v>139</v>
      </c>
      <c r="BS2" s="422" t="s">
        <v>140</v>
      </c>
      <c r="BT2" s="422" t="s">
        <v>141</v>
      </c>
      <c r="BU2" s="422" t="s">
        <v>142</v>
      </c>
      <c r="BV2" s="422" t="s">
        <v>538</v>
      </c>
      <c r="BW2" s="422" t="s">
        <v>539</v>
      </c>
      <c r="BX2" s="422" t="s">
        <v>257</v>
      </c>
      <c r="BY2" s="422" t="s">
        <v>258</v>
      </c>
      <c r="BZ2" s="422" t="s">
        <v>260</v>
      </c>
      <c r="CA2" s="422" t="s">
        <v>261</v>
      </c>
      <c r="CB2" s="422" t="s">
        <v>262</v>
      </c>
      <c r="CC2" s="422" t="s">
        <v>263</v>
      </c>
      <c r="CD2" s="422" t="s">
        <v>264</v>
      </c>
      <c r="CE2" s="422" t="s">
        <v>265</v>
      </c>
      <c r="CF2" s="424" t="s">
        <v>319</v>
      </c>
      <c r="CG2" s="422" t="s">
        <v>266</v>
      </c>
      <c r="CH2" s="422" t="s">
        <v>267</v>
      </c>
      <c r="CI2" s="422" t="s">
        <v>540</v>
      </c>
      <c r="CJ2" s="422" t="s">
        <v>268</v>
      </c>
      <c r="CK2" s="422" t="s">
        <v>269</v>
      </c>
      <c r="CL2" s="422" t="s">
        <v>270</v>
      </c>
      <c r="CM2" s="422" t="s">
        <v>271</v>
      </c>
      <c r="CN2" s="422" t="s">
        <v>532</v>
      </c>
      <c r="CO2" s="422" t="s">
        <v>305</v>
      </c>
      <c r="CP2" s="422" t="s">
        <v>541</v>
      </c>
      <c r="CQ2" s="422" t="s">
        <v>306</v>
      </c>
    </row>
    <row r="3" spans="1:95" s="250" customFormat="1" ht="30.95" customHeight="1" x14ac:dyDescent="0.25">
      <c r="A3" s="249" t="s">
        <v>132</v>
      </c>
      <c r="B3" s="249" t="s">
        <v>133</v>
      </c>
      <c r="C3" s="249" t="s">
        <v>134</v>
      </c>
      <c r="D3" s="249" t="s">
        <v>135</v>
      </c>
      <c r="E3" s="249" t="s">
        <v>81</v>
      </c>
      <c r="F3" s="249" t="s">
        <v>136</v>
      </c>
      <c r="G3" s="252" t="s">
        <v>452</v>
      </c>
      <c r="H3" s="252" t="s">
        <v>453</v>
      </c>
      <c r="I3" s="252" t="s">
        <v>555</v>
      </c>
      <c r="J3" s="252" t="s">
        <v>456</v>
      </c>
      <c r="K3" s="252" t="s">
        <v>555</v>
      </c>
      <c r="L3" s="252" t="s">
        <v>555</v>
      </c>
      <c r="M3" s="252" t="s">
        <v>555</v>
      </c>
      <c r="N3" s="252" t="s">
        <v>455</v>
      </c>
      <c r="O3" s="252" t="s">
        <v>455</v>
      </c>
      <c r="P3" s="513" t="s">
        <v>459</v>
      </c>
      <c r="Q3" s="513" t="s">
        <v>639</v>
      </c>
      <c r="R3" s="513" t="s">
        <v>459</v>
      </c>
      <c r="S3" s="513" t="s">
        <v>459</v>
      </c>
      <c r="T3" s="513" t="s">
        <v>459</v>
      </c>
      <c r="U3" s="513" t="s">
        <v>459</v>
      </c>
      <c r="V3" s="252" t="s">
        <v>457</v>
      </c>
      <c r="W3" s="336" t="s">
        <v>488</v>
      </c>
      <c r="X3" s="513" t="s">
        <v>461</v>
      </c>
      <c r="Y3" s="252" t="s">
        <v>555</v>
      </c>
      <c r="Z3" s="252" t="s">
        <v>555</v>
      </c>
      <c r="AA3" s="252" t="s">
        <v>454</v>
      </c>
      <c r="AB3" s="252" t="s">
        <v>454</v>
      </c>
      <c r="AC3" s="252" t="s">
        <v>454</v>
      </c>
      <c r="AD3" s="252" t="s">
        <v>454</v>
      </c>
      <c r="AE3" s="252" t="s">
        <v>454</v>
      </c>
      <c r="AF3" s="252" t="s">
        <v>454</v>
      </c>
      <c r="AG3" s="336" t="s">
        <v>555</v>
      </c>
      <c r="AH3" s="336" t="s">
        <v>555</v>
      </c>
      <c r="AI3" s="336" t="s">
        <v>555</v>
      </c>
      <c r="AJ3" s="252" t="s">
        <v>453</v>
      </c>
      <c r="AK3" s="252" t="s">
        <v>453</v>
      </c>
      <c r="AL3" s="252" t="s">
        <v>460</v>
      </c>
      <c r="AM3" s="252" t="s">
        <v>453</v>
      </c>
      <c r="AN3" s="252" t="s">
        <v>556</v>
      </c>
      <c r="AO3" s="252" t="s">
        <v>557</v>
      </c>
      <c r="AP3" s="252" t="s">
        <v>557</v>
      </c>
      <c r="AQ3" s="252" t="s">
        <v>558</v>
      </c>
      <c r="AR3" s="336" t="s">
        <v>497</v>
      </c>
      <c r="AS3" s="336" t="s">
        <v>497</v>
      </c>
      <c r="AT3" s="336" t="s">
        <v>497</v>
      </c>
      <c r="AU3" s="336" t="s">
        <v>497</v>
      </c>
      <c r="AV3" s="336" t="s">
        <v>497</v>
      </c>
      <c r="AW3" s="336" t="s">
        <v>497</v>
      </c>
      <c r="AX3" s="336" t="s">
        <v>497</v>
      </c>
      <c r="AY3" s="336" t="s">
        <v>497</v>
      </c>
      <c r="AZ3" s="252" t="s">
        <v>458</v>
      </c>
      <c r="BA3" s="252" t="s">
        <v>458</v>
      </c>
      <c r="BB3" s="252" t="s">
        <v>458</v>
      </c>
      <c r="BC3" s="252" t="s">
        <v>559</v>
      </c>
      <c r="BD3" s="252" t="s">
        <v>462</v>
      </c>
      <c r="BE3" s="252" t="s">
        <v>462</v>
      </c>
      <c r="BF3" s="252" t="s">
        <v>462</v>
      </c>
      <c r="BG3" s="252" t="s">
        <v>463</v>
      </c>
      <c r="BH3" s="252" t="s">
        <v>463</v>
      </c>
      <c r="BI3" s="252" t="s">
        <v>463</v>
      </c>
      <c r="BJ3" s="252" t="s">
        <v>463</v>
      </c>
      <c r="BK3" s="252" t="s">
        <v>463</v>
      </c>
      <c r="BL3" s="252" t="s">
        <v>627</v>
      </c>
      <c r="BM3" s="252" t="s">
        <v>627</v>
      </c>
      <c r="BN3" s="252" t="s">
        <v>627</v>
      </c>
      <c r="BO3" s="252" t="s">
        <v>627</v>
      </c>
      <c r="BP3" s="252" t="s">
        <v>464</v>
      </c>
      <c r="BQ3" s="252" t="s">
        <v>465</v>
      </c>
      <c r="BR3" s="252" t="s">
        <v>464</v>
      </c>
      <c r="BS3" s="252" t="s">
        <v>465</v>
      </c>
      <c r="BT3" s="252" t="s">
        <v>466</v>
      </c>
      <c r="BU3" s="252" t="s">
        <v>466</v>
      </c>
      <c r="BV3" s="252" t="s">
        <v>466</v>
      </c>
      <c r="BW3" s="252" t="s">
        <v>466</v>
      </c>
      <c r="BX3" s="252" t="s">
        <v>466</v>
      </c>
      <c r="BY3" s="252" t="s">
        <v>466</v>
      </c>
      <c r="BZ3" s="441" t="s">
        <v>560</v>
      </c>
      <c r="CA3" s="441" t="s">
        <v>560</v>
      </c>
      <c r="CB3" s="441" t="s">
        <v>560</v>
      </c>
      <c r="CC3" s="441" t="s">
        <v>560</v>
      </c>
      <c r="CD3" s="441" t="s">
        <v>560</v>
      </c>
      <c r="CE3" s="252" t="s">
        <v>628</v>
      </c>
      <c r="CF3" s="252" t="s">
        <v>452</v>
      </c>
      <c r="CG3" s="252" t="s">
        <v>629</v>
      </c>
      <c r="CH3" s="252" t="s">
        <v>629</v>
      </c>
      <c r="CI3" s="252" t="s">
        <v>630</v>
      </c>
      <c r="CJ3" s="252" t="s">
        <v>630</v>
      </c>
      <c r="CK3" s="252" t="s">
        <v>630</v>
      </c>
      <c r="CL3" s="252" t="s">
        <v>630</v>
      </c>
      <c r="CM3" s="252" t="s">
        <v>630</v>
      </c>
      <c r="CN3" s="252" t="s">
        <v>630</v>
      </c>
      <c r="CO3" s="441" t="s">
        <v>561</v>
      </c>
      <c r="CP3" s="441" t="s">
        <v>561</v>
      </c>
      <c r="CQ3" s="441" t="s">
        <v>561</v>
      </c>
    </row>
    <row r="4" spans="1:95" s="251" customFormat="1" ht="43.5" customHeight="1" x14ac:dyDescent="0.25">
      <c r="A4" s="337" t="s">
        <v>499</v>
      </c>
      <c r="B4" s="337" t="s">
        <v>285</v>
      </c>
      <c r="C4" s="338" t="s">
        <v>6</v>
      </c>
      <c r="D4" s="337" t="s">
        <v>303</v>
      </c>
      <c r="E4" s="337" t="s">
        <v>501</v>
      </c>
      <c r="F4" s="339" t="s">
        <v>450</v>
      </c>
      <c r="G4" s="340" t="s">
        <v>367</v>
      </c>
      <c r="H4" s="341">
        <v>16</v>
      </c>
      <c r="I4" s="341" t="s">
        <v>97</v>
      </c>
      <c r="J4" s="342">
        <v>0.25</v>
      </c>
      <c r="K4" s="341" t="s">
        <v>286</v>
      </c>
      <c r="L4" s="343">
        <v>44835</v>
      </c>
      <c r="M4" s="343">
        <v>45199</v>
      </c>
      <c r="N4" s="425">
        <v>100000</v>
      </c>
      <c r="O4" s="425">
        <v>100000</v>
      </c>
      <c r="P4" s="518">
        <v>1</v>
      </c>
      <c r="Q4" s="518">
        <v>4</v>
      </c>
      <c r="R4" s="518">
        <v>2</v>
      </c>
      <c r="S4" s="518">
        <v>2</v>
      </c>
      <c r="T4" s="518">
        <v>1</v>
      </c>
      <c r="U4" s="518">
        <v>1</v>
      </c>
      <c r="V4" s="341" t="s">
        <v>96</v>
      </c>
      <c r="W4" s="344" t="s">
        <v>96</v>
      </c>
      <c r="X4" s="514" t="s">
        <v>96</v>
      </c>
      <c r="Y4" s="341">
        <v>24</v>
      </c>
      <c r="Z4" s="341">
        <v>21</v>
      </c>
      <c r="AA4" s="344">
        <v>0</v>
      </c>
      <c r="AB4" s="341">
        <v>0</v>
      </c>
      <c r="AC4" s="341">
        <v>1</v>
      </c>
      <c r="AD4" s="341">
        <v>2</v>
      </c>
      <c r="AE4" s="341">
        <v>0</v>
      </c>
      <c r="AF4" s="341">
        <v>4</v>
      </c>
      <c r="AG4" s="344">
        <v>23</v>
      </c>
      <c r="AH4" s="344">
        <v>20</v>
      </c>
      <c r="AI4" s="344">
        <v>19</v>
      </c>
      <c r="AJ4" s="341">
        <v>17</v>
      </c>
      <c r="AK4" s="341">
        <v>15</v>
      </c>
      <c r="AL4" s="341">
        <v>15</v>
      </c>
      <c r="AM4" s="341">
        <v>15</v>
      </c>
      <c r="AN4" s="341">
        <v>1</v>
      </c>
      <c r="AO4" s="341">
        <v>2</v>
      </c>
      <c r="AP4" s="341">
        <v>3</v>
      </c>
      <c r="AQ4" s="341">
        <v>0</v>
      </c>
      <c r="AR4" s="344">
        <v>10</v>
      </c>
      <c r="AS4" s="344">
        <v>0</v>
      </c>
      <c r="AT4" s="344">
        <v>4</v>
      </c>
      <c r="AU4" s="344">
        <v>0</v>
      </c>
      <c r="AV4" s="344">
        <v>19</v>
      </c>
      <c r="AW4" s="344">
        <v>2</v>
      </c>
      <c r="AX4" s="344">
        <v>0</v>
      </c>
      <c r="AY4" s="344">
        <v>0</v>
      </c>
      <c r="AZ4" s="345">
        <v>1</v>
      </c>
      <c r="BA4" s="345">
        <v>0</v>
      </c>
      <c r="BB4" s="345">
        <v>21</v>
      </c>
      <c r="BC4" s="345">
        <v>1</v>
      </c>
      <c r="BD4" s="341">
        <v>16</v>
      </c>
      <c r="BE4" s="341">
        <v>0</v>
      </c>
      <c r="BF4" s="341">
        <v>21</v>
      </c>
      <c r="BG4" s="341">
        <v>0</v>
      </c>
      <c r="BH4" s="341">
        <v>0</v>
      </c>
      <c r="BI4" s="341">
        <v>3</v>
      </c>
      <c r="BJ4" s="341">
        <v>15</v>
      </c>
      <c r="BK4" s="341">
        <v>6</v>
      </c>
      <c r="BL4" s="341">
        <v>5</v>
      </c>
      <c r="BM4" s="341">
        <v>3</v>
      </c>
      <c r="BN4" s="514">
        <v>4</v>
      </c>
      <c r="BO4" s="514">
        <v>2</v>
      </c>
      <c r="BP4" s="341">
        <v>5</v>
      </c>
      <c r="BQ4" s="341">
        <v>4</v>
      </c>
      <c r="BR4" s="341">
        <v>1</v>
      </c>
      <c r="BS4" s="341">
        <v>2</v>
      </c>
      <c r="BT4" s="341">
        <v>11</v>
      </c>
      <c r="BU4" s="341">
        <v>4</v>
      </c>
      <c r="BV4" s="341">
        <v>0</v>
      </c>
      <c r="BW4" s="341">
        <v>0</v>
      </c>
      <c r="BX4" s="341">
        <v>15</v>
      </c>
      <c r="BY4" s="341">
        <v>6</v>
      </c>
      <c r="BZ4" s="341">
        <v>0</v>
      </c>
      <c r="CA4" s="341">
        <v>0</v>
      </c>
      <c r="CB4" s="341">
        <v>0</v>
      </c>
      <c r="CC4" s="341">
        <v>1</v>
      </c>
      <c r="CD4" s="341">
        <v>24</v>
      </c>
      <c r="CE4" s="341">
        <v>16</v>
      </c>
      <c r="CF4" s="345">
        <v>5.14</v>
      </c>
      <c r="CG4" s="341">
        <v>1</v>
      </c>
      <c r="CH4" s="341">
        <v>0</v>
      </c>
      <c r="CI4" s="341">
        <v>0</v>
      </c>
      <c r="CJ4" s="341">
        <v>0</v>
      </c>
      <c r="CK4" s="341">
        <v>8</v>
      </c>
      <c r="CL4" s="341">
        <v>6</v>
      </c>
      <c r="CM4" s="341">
        <v>0</v>
      </c>
      <c r="CN4" s="363">
        <v>0.75</v>
      </c>
      <c r="CO4" s="345">
        <v>14</v>
      </c>
      <c r="CP4" s="345">
        <v>0</v>
      </c>
      <c r="CQ4" s="345">
        <v>20</v>
      </c>
    </row>
    <row r="5" spans="1:95" s="251" customFormat="1" ht="43.5" customHeight="1" x14ac:dyDescent="0.25">
      <c r="A5" s="359" t="s">
        <v>500</v>
      </c>
      <c r="B5" s="359" t="s">
        <v>285</v>
      </c>
      <c r="C5" s="360" t="s">
        <v>5</v>
      </c>
      <c r="D5" s="337" t="s">
        <v>303</v>
      </c>
      <c r="E5" s="359" t="s">
        <v>502</v>
      </c>
      <c r="F5" s="339" t="s">
        <v>450</v>
      </c>
      <c r="G5" s="361" t="s">
        <v>367</v>
      </c>
      <c r="H5" s="344">
        <v>80</v>
      </c>
      <c r="I5" s="344" t="s">
        <v>97</v>
      </c>
      <c r="J5" s="342">
        <v>0.25</v>
      </c>
      <c r="K5" s="341" t="s">
        <v>286</v>
      </c>
      <c r="L5" s="343">
        <v>44835</v>
      </c>
      <c r="M5" s="343">
        <v>45199</v>
      </c>
      <c r="N5" s="425">
        <v>90000</v>
      </c>
      <c r="O5" s="425">
        <v>100000</v>
      </c>
      <c r="P5" s="518">
        <v>1</v>
      </c>
      <c r="Q5" s="518">
        <v>8</v>
      </c>
      <c r="R5" s="518">
        <v>2</v>
      </c>
      <c r="S5" s="518">
        <v>2</v>
      </c>
      <c r="T5" s="518">
        <v>2</v>
      </c>
      <c r="U5" s="518">
        <v>2</v>
      </c>
      <c r="V5" s="344" t="s">
        <v>96</v>
      </c>
      <c r="W5" s="344" t="s">
        <v>96</v>
      </c>
      <c r="X5" s="514" t="s">
        <v>96</v>
      </c>
      <c r="Y5" s="344">
        <v>216</v>
      </c>
      <c r="Z5" s="344">
        <v>124</v>
      </c>
      <c r="AA5" s="344">
        <v>0</v>
      </c>
      <c r="AB5" s="344">
        <v>32</v>
      </c>
      <c r="AC5" s="344">
        <v>13</v>
      </c>
      <c r="AD5" s="344">
        <v>11</v>
      </c>
      <c r="AE5" s="344">
        <v>3</v>
      </c>
      <c r="AF5" s="344">
        <v>97</v>
      </c>
      <c r="AG5" s="344">
        <v>174</v>
      </c>
      <c r="AH5" s="344">
        <v>110</v>
      </c>
      <c r="AI5" s="344">
        <v>92</v>
      </c>
      <c r="AJ5" s="344">
        <v>23</v>
      </c>
      <c r="AK5" s="344">
        <v>28</v>
      </c>
      <c r="AL5" s="344">
        <v>36</v>
      </c>
      <c r="AM5" s="344">
        <v>31</v>
      </c>
      <c r="AN5" s="344">
        <v>25</v>
      </c>
      <c r="AO5" s="344">
        <v>13</v>
      </c>
      <c r="AP5" s="344">
        <v>0</v>
      </c>
      <c r="AQ5" s="344">
        <v>0</v>
      </c>
      <c r="AR5" s="344">
        <v>15</v>
      </c>
      <c r="AS5" s="344">
        <v>15</v>
      </c>
      <c r="AT5" s="344">
        <v>21</v>
      </c>
      <c r="AU5" s="344">
        <v>8</v>
      </c>
      <c r="AV5" s="344">
        <v>65</v>
      </c>
      <c r="AW5" s="344">
        <v>59</v>
      </c>
      <c r="AX5" s="344">
        <v>0</v>
      </c>
      <c r="AY5" s="344">
        <v>0</v>
      </c>
      <c r="AZ5" s="344">
        <v>60</v>
      </c>
      <c r="BA5" s="344">
        <v>0</v>
      </c>
      <c r="BB5" s="344">
        <v>125</v>
      </c>
      <c r="BC5" s="344">
        <v>55</v>
      </c>
      <c r="BD5" s="344">
        <v>103</v>
      </c>
      <c r="BE5" s="344">
        <v>0</v>
      </c>
      <c r="BF5" s="344">
        <v>125</v>
      </c>
      <c r="BG5" s="344">
        <v>0</v>
      </c>
      <c r="BH5" s="344">
        <v>0</v>
      </c>
      <c r="BI5" s="344">
        <v>81</v>
      </c>
      <c r="BJ5" s="344">
        <v>82</v>
      </c>
      <c r="BK5" s="344">
        <v>42</v>
      </c>
      <c r="BL5" s="344">
        <v>5</v>
      </c>
      <c r="BM5" s="344">
        <v>10</v>
      </c>
      <c r="BN5" s="514">
        <v>2</v>
      </c>
      <c r="BO5" s="514">
        <v>3</v>
      </c>
      <c r="BP5" s="344">
        <v>1</v>
      </c>
      <c r="BQ5" s="344">
        <v>0</v>
      </c>
      <c r="BR5" s="344">
        <v>5</v>
      </c>
      <c r="BS5" s="344">
        <v>5</v>
      </c>
      <c r="BT5" s="344">
        <v>1</v>
      </c>
      <c r="BU5" s="344">
        <v>31</v>
      </c>
      <c r="BV5" s="344">
        <v>0</v>
      </c>
      <c r="BW5" s="344">
        <v>0</v>
      </c>
      <c r="BX5" s="344">
        <v>82</v>
      </c>
      <c r="BY5" s="344">
        <v>41</v>
      </c>
      <c r="BZ5" s="344">
        <v>33</v>
      </c>
      <c r="CA5" s="344">
        <v>29</v>
      </c>
      <c r="CB5" s="344">
        <v>18</v>
      </c>
      <c r="CC5" s="344">
        <v>43</v>
      </c>
      <c r="CD5" s="344">
        <v>216</v>
      </c>
      <c r="CE5" s="344">
        <v>142</v>
      </c>
      <c r="CF5" s="344">
        <v>21.14</v>
      </c>
      <c r="CG5" s="344">
        <v>0</v>
      </c>
      <c r="CH5" s="344">
        <v>0</v>
      </c>
      <c r="CI5" s="344">
        <v>0</v>
      </c>
      <c r="CJ5" s="344">
        <v>0</v>
      </c>
      <c r="CK5" s="344">
        <v>74</v>
      </c>
      <c r="CL5" s="344">
        <v>67</v>
      </c>
      <c r="CM5" s="344">
        <v>0</v>
      </c>
      <c r="CN5" s="364">
        <v>0.90500000000000003</v>
      </c>
      <c r="CO5" s="344">
        <v>6</v>
      </c>
      <c r="CP5" s="344">
        <v>1</v>
      </c>
      <c r="CQ5" s="344">
        <v>110</v>
      </c>
    </row>
    <row r="6" spans="1:95" s="251" customFormat="1" ht="12.75" x14ac:dyDescent="0.25">
      <c r="A6" s="240" t="s">
        <v>399</v>
      </c>
      <c r="B6" s="240" t="s">
        <v>285</v>
      </c>
      <c r="C6" s="241" t="s">
        <v>6</v>
      </c>
      <c r="D6" s="240" t="s">
        <v>434</v>
      </c>
      <c r="E6" s="240" t="s">
        <v>611</v>
      </c>
      <c r="F6" s="502" t="s">
        <v>552</v>
      </c>
      <c r="G6" s="242" t="s">
        <v>369</v>
      </c>
      <c r="H6" s="428"/>
      <c r="I6" s="428" t="s">
        <v>97</v>
      </c>
      <c r="J6" s="426"/>
      <c r="K6" s="428"/>
      <c r="L6" s="429"/>
      <c r="M6" s="429"/>
      <c r="N6" s="430"/>
      <c r="O6" s="430"/>
      <c r="P6" s="519"/>
      <c r="Q6" s="519"/>
      <c r="R6" s="519"/>
      <c r="S6" s="519"/>
      <c r="T6" s="519"/>
      <c r="U6" s="519"/>
      <c r="V6" s="428"/>
      <c r="W6" s="431"/>
      <c r="X6" s="515"/>
      <c r="Y6" s="428"/>
      <c r="Z6" s="428"/>
      <c r="AA6" s="431"/>
      <c r="AB6" s="428"/>
      <c r="AC6" s="428"/>
      <c r="AD6" s="428"/>
      <c r="AE6" s="428"/>
      <c r="AF6" s="428"/>
      <c r="AG6" s="431"/>
      <c r="AH6" s="431"/>
      <c r="AI6" s="431"/>
      <c r="AJ6" s="428"/>
      <c r="AK6" s="428"/>
      <c r="AL6" s="428"/>
      <c r="AM6" s="428"/>
      <c r="AN6" s="428"/>
      <c r="AO6" s="428"/>
      <c r="AP6" s="428"/>
      <c r="AQ6" s="428"/>
      <c r="AR6" s="431"/>
      <c r="AS6" s="431"/>
      <c r="AT6" s="431"/>
      <c r="AU6" s="431"/>
      <c r="AV6" s="431"/>
      <c r="AW6" s="431"/>
      <c r="AX6" s="431"/>
      <c r="AY6" s="431"/>
      <c r="AZ6" s="432"/>
      <c r="BA6" s="432"/>
      <c r="BB6" s="432"/>
      <c r="BC6" s="432"/>
      <c r="BD6" s="428"/>
      <c r="BE6" s="428"/>
      <c r="BF6" s="428"/>
      <c r="BG6" s="428"/>
      <c r="BH6" s="428"/>
      <c r="BI6" s="428"/>
      <c r="BJ6" s="428"/>
      <c r="BK6" s="428"/>
      <c r="BL6" s="428"/>
      <c r="BM6" s="428"/>
      <c r="BN6" s="515"/>
      <c r="BO6" s="515"/>
      <c r="BP6" s="428"/>
      <c r="BQ6" s="428"/>
      <c r="BR6" s="428"/>
      <c r="BS6" s="428"/>
      <c r="BT6" s="428"/>
      <c r="BU6" s="428"/>
      <c r="BV6" s="428"/>
      <c r="BW6" s="428"/>
      <c r="BX6" s="428"/>
      <c r="BY6" s="428"/>
      <c r="BZ6" s="428"/>
      <c r="CA6" s="428"/>
      <c r="CB6" s="428"/>
      <c r="CC6" s="428"/>
      <c r="CD6" s="428"/>
      <c r="CE6" s="428"/>
      <c r="CF6" s="432"/>
      <c r="CG6" s="428"/>
      <c r="CH6" s="428"/>
      <c r="CI6" s="428"/>
      <c r="CJ6" s="428"/>
      <c r="CK6" s="428"/>
      <c r="CL6" s="428"/>
      <c r="CM6" s="428"/>
      <c r="CN6" s="433"/>
      <c r="CO6" s="432"/>
      <c r="CP6" s="432"/>
      <c r="CQ6" s="432"/>
    </row>
    <row r="7" spans="1:95" s="251" customFormat="1" ht="12.75" x14ac:dyDescent="0.25">
      <c r="A7" s="240" t="s">
        <v>400</v>
      </c>
      <c r="B7" s="240" t="s">
        <v>285</v>
      </c>
      <c r="C7" s="241" t="s">
        <v>6</v>
      </c>
      <c r="D7" s="240" t="s">
        <v>435</v>
      </c>
      <c r="E7" s="240" t="s">
        <v>609</v>
      </c>
      <c r="F7" s="481" t="s">
        <v>551</v>
      </c>
      <c r="G7" s="242" t="s">
        <v>369</v>
      </c>
      <c r="H7" s="428"/>
      <c r="I7" s="428" t="s">
        <v>97</v>
      </c>
      <c r="J7" s="426"/>
      <c r="K7" s="428"/>
      <c r="L7" s="429"/>
      <c r="M7" s="429"/>
      <c r="N7" s="430"/>
      <c r="O7" s="430"/>
      <c r="P7" s="519"/>
      <c r="Q7" s="519"/>
      <c r="R7" s="519"/>
      <c r="S7" s="519"/>
      <c r="T7" s="519"/>
      <c r="U7" s="519"/>
      <c r="V7" s="428"/>
      <c r="W7" s="431"/>
      <c r="X7" s="515"/>
      <c r="Y7" s="428"/>
      <c r="Z7" s="428"/>
      <c r="AA7" s="431"/>
      <c r="AB7" s="428"/>
      <c r="AC7" s="428"/>
      <c r="AD7" s="428"/>
      <c r="AE7" s="428"/>
      <c r="AF7" s="428"/>
      <c r="AG7" s="431"/>
      <c r="AH7" s="431"/>
      <c r="AI7" s="431"/>
      <c r="AJ7" s="428"/>
      <c r="AK7" s="428"/>
      <c r="AL7" s="428"/>
      <c r="AM7" s="428"/>
      <c r="AN7" s="428"/>
      <c r="AO7" s="428"/>
      <c r="AP7" s="428"/>
      <c r="AQ7" s="428"/>
      <c r="AR7" s="431"/>
      <c r="AS7" s="431"/>
      <c r="AT7" s="431"/>
      <c r="AU7" s="431"/>
      <c r="AV7" s="431"/>
      <c r="AW7" s="431"/>
      <c r="AX7" s="431"/>
      <c r="AY7" s="431"/>
      <c r="AZ7" s="432"/>
      <c r="BA7" s="432"/>
      <c r="BB7" s="432"/>
      <c r="BC7" s="432"/>
      <c r="BD7" s="428"/>
      <c r="BE7" s="428"/>
      <c r="BF7" s="428"/>
      <c r="BG7" s="428"/>
      <c r="BH7" s="428"/>
      <c r="BI7" s="428"/>
      <c r="BJ7" s="428"/>
      <c r="BK7" s="428"/>
      <c r="BL7" s="428"/>
      <c r="BM7" s="428"/>
      <c r="BN7" s="515"/>
      <c r="BO7" s="515"/>
      <c r="BP7" s="428"/>
      <c r="BQ7" s="428"/>
      <c r="BR7" s="428"/>
      <c r="BS7" s="428"/>
      <c r="BT7" s="428"/>
      <c r="BU7" s="428"/>
      <c r="BV7" s="428"/>
      <c r="BW7" s="428"/>
      <c r="BX7" s="428"/>
      <c r="BY7" s="428"/>
      <c r="BZ7" s="428"/>
      <c r="CA7" s="428"/>
      <c r="CB7" s="428"/>
      <c r="CC7" s="428"/>
      <c r="CD7" s="428"/>
      <c r="CE7" s="428"/>
      <c r="CF7" s="432"/>
      <c r="CG7" s="428"/>
      <c r="CH7" s="428"/>
      <c r="CI7" s="428"/>
      <c r="CJ7" s="428"/>
      <c r="CK7" s="428"/>
      <c r="CL7" s="428"/>
      <c r="CM7" s="428"/>
      <c r="CN7" s="433"/>
      <c r="CO7" s="432"/>
      <c r="CP7" s="432"/>
      <c r="CQ7" s="432"/>
    </row>
    <row r="8" spans="1:95" s="251" customFormat="1" ht="12.75" x14ac:dyDescent="0.25">
      <c r="A8" s="240" t="s">
        <v>401</v>
      </c>
      <c r="B8" s="240" t="s">
        <v>285</v>
      </c>
      <c r="C8" s="241" t="s">
        <v>5</v>
      </c>
      <c r="D8" s="240" t="s">
        <v>436</v>
      </c>
      <c r="E8" s="240" t="s">
        <v>607</v>
      </c>
      <c r="F8" s="481" t="s">
        <v>550</v>
      </c>
      <c r="G8" s="242" t="s">
        <v>367</v>
      </c>
      <c r="H8" s="428"/>
      <c r="I8" s="428" t="s">
        <v>97</v>
      </c>
      <c r="J8" s="426"/>
      <c r="K8" s="428"/>
      <c r="L8" s="429"/>
      <c r="M8" s="429"/>
      <c r="N8" s="430"/>
      <c r="O8" s="430"/>
      <c r="P8" s="519"/>
      <c r="Q8" s="519"/>
      <c r="R8" s="519"/>
      <c r="S8" s="519"/>
      <c r="T8" s="519"/>
      <c r="U8" s="519"/>
      <c r="V8" s="428"/>
      <c r="W8" s="431"/>
      <c r="X8" s="515"/>
      <c r="Y8" s="428"/>
      <c r="Z8" s="428"/>
      <c r="AA8" s="431"/>
      <c r="AB8" s="428"/>
      <c r="AC8" s="428"/>
      <c r="AD8" s="428"/>
      <c r="AE8" s="428"/>
      <c r="AF8" s="428"/>
      <c r="AG8" s="431"/>
      <c r="AH8" s="431"/>
      <c r="AI8" s="431"/>
      <c r="AJ8" s="428"/>
      <c r="AK8" s="428"/>
      <c r="AL8" s="428"/>
      <c r="AM8" s="428"/>
      <c r="AN8" s="428"/>
      <c r="AO8" s="428"/>
      <c r="AP8" s="428"/>
      <c r="AQ8" s="428"/>
      <c r="AR8" s="431"/>
      <c r="AS8" s="431"/>
      <c r="AT8" s="431"/>
      <c r="AU8" s="431"/>
      <c r="AV8" s="431"/>
      <c r="AW8" s="431"/>
      <c r="AX8" s="431"/>
      <c r="AY8" s="431"/>
      <c r="AZ8" s="432"/>
      <c r="BA8" s="432"/>
      <c r="BB8" s="432"/>
      <c r="BC8" s="432"/>
      <c r="BD8" s="428"/>
      <c r="BE8" s="428"/>
      <c r="BF8" s="428"/>
      <c r="BG8" s="428"/>
      <c r="BH8" s="428"/>
      <c r="BI8" s="428"/>
      <c r="BJ8" s="428"/>
      <c r="BK8" s="428"/>
      <c r="BL8" s="428"/>
      <c r="BM8" s="428"/>
      <c r="BN8" s="515"/>
      <c r="BO8" s="515"/>
      <c r="BP8" s="428"/>
      <c r="BQ8" s="428"/>
      <c r="BR8" s="428"/>
      <c r="BS8" s="428"/>
      <c r="BT8" s="428"/>
      <c r="BU8" s="428"/>
      <c r="BV8" s="428"/>
      <c r="BW8" s="428"/>
      <c r="BX8" s="428"/>
      <c r="BY8" s="428"/>
      <c r="BZ8" s="428"/>
      <c r="CA8" s="428"/>
      <c r="CB8" s="428"/>
      <c r="CC8" s="428"/>
      <c r="CD8" s="428"/>
      <c r="CE8" s="428"/>
      <c r="CF8" s="432"/>
      <c r="CG8" s="428"/>
      <c r="CH8" s="428"/>
      <c r="CI8" s="428"/>
      <c r="CJ8" s="428"/>
      <c r="CK8" s="428"/>
      <c r="CL8" s="428"/>
      <c r="CM8" s="428"/>
      <c r="CN8" s="433"/>
      <c r="CO8" s="432"/>
      <c r="CP8" s="432"/>
      <c r="CQ8" s="432"/>
    </row>
    <row r="9" spans="1:95" s="251" customFormat="1" ht="12.75" x14ac:dyDescent="0.25">
      <c r="A9" s="434" t="s">
        <v>402</v>
      </c>
      <c r="B9" s="434" t="s">
        <v>285</v>
      </c>
      <c r="C9" s="435" t="s">
        <v>6</v>
      </c>
      <c r="D9" s="434" t="s">
        <v>437</v>
      </c>
      <c r="E9" s="434" t="s">
        <v>610</v>
      </c>
      <c r="F9" s="503" t="s">
        <v>553</v>
      </c>
      <c r="G9" s="435" t="s">
        <v>369</v>
      </c>
      <c r="H9" s="436"/>
      <c r="I9" s="436" t="s">
        <v>97</v>
      </c>
      <c r="J9" s="437"/>
      <c r="K9" s="436"/>
      <c r="L9" s="438"/>
      <c r="M9" s="438"/>
      <c r="N9" s="439"/>
      <c r="O9" s="439"/>
      <c r="P9" s="519"/>
      <c r="Q9" s="519"/>
      <c r="R9" s="519"/>
      <c r="S9" s="519"/>
      <c r="T9" s="519"/>
      <c r="U9" s="519"/>
      <c r="V9" s="436"/>
      <c r="W9" s="436"/>
      <c r="X9" s="515"/>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436"/>
      <c r="AY9" s="436"/>
      <c r="AZ9" s="436"/>
      <c r="BA9" s="436"/>
      <c r="BB9" s="436"/>
      <c r="BC9" s="436"/>
      <c r="BD9" s="436"/>
      <c r="BE9" s="436"/>
      <c r="BF9" s="436"/>
      <c r="BG9" s="436"/>
      <c r="BH9" s="436"/>
      <c r="BI9" s="436"/>
      <c r="BJ9" s="436"/>
      <c r="BK9" s="436"/>
      <c r="BL9" s="436"/>
      <c r="BM9" s="436"/>
      <c r="BN9" s="515"/>
      <c r="BO9" s="515"/>
      <c r="BP9" s="436"/>
      <c r="BQ9" s="436"/>
      <c r="BR9" s="436"/>
      <c r="BS9" s="436"/>
      <c r="BT9" s="436"/>
      <c r="BU9" s="436"/>
      <c r="BV9" s="436"/>
      <c r="BW9" s="436"/>
      <c r="BX9" s="436"/>
      <c r="BY9" s="436"/>
      <c r="BZ9" s="436"/>
      <c r="CA9" s="436"/>
      <c r="CB9" s="436"/>
      <c r="CC9" s="436"/>
      <c r="CD9" s="436"/>
      <c r="CE9" s="436"/>
      <c r="CF9" s="436"/>
      <c r="CG9" s="436"/>
      <c r="CH9" s="436"/>
      <c r="CI9" s="436"/>
      <c r="CJ9" s="436"/>
      <c r="CK9" s="436"/>
      <c r="CL9" s="436"/>
      <c r="CM9" s="436"/>
      <c r="CN9" s="440"/>
      <c r="CO9" s="436"/>
      <c r="CP9" s="436"/>
      <c r="CQ9" s="436"/>
    </row>
    <row r="10" spans="1:95" s="219" customFormat="1" ht="12.75" x14ac:dyDescent="0.25">
      <c r="A10" s="434" t="s">
        <v>478</v>
      </c>
      <c r="B10" s="434" t="s">
        <v>285</v>
      </c>
      <c r="C10" s="435" t="s">
        <v>5</v>
      </c>
      <c r="D10" s="434" t="s">
        <v>436</v>
      </c>
      <c r="E10" s="434" t="s">
        <v>608</v>
      </c>
      <c r="F10" s="503" t="s">
        <v>554</v>
      </c>
      <c r="G10" s="435" t="s">
        <v>367</v>
      </c>
      <c r="H10" s="436"/>
      <c r="I10" s="436" t="s">
        <v>96</v>
      </c>
      <c r="J10" s="440"/>
      <c r="K10" s="436"/>
      <c r="L10" s="438"/>
      <c r="M10" s="438"/>
      <c r="N10" s="439"/>
      <c r="O10" s="439"/>
      <c r="P10" s="519"/>
      <c r="Q10" s="519"/>
      <c r="R10" s="519"/>
      <c r="S10" s="519"/>
      <c r="T10" s="519"/>
      <c r="U10" s="519"/>
      <c r="V10" s="436"/>
      <c r="W10" s="436"/>
      <c r="X10" s="515"/>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c r="AW10" s="436"/>
      <c r="AX10" s="436"/>
      <c r="AY10" s="436"/>
      <c r="AZ10" s="436"/>
      <c r="BA10" s="436"/>
      <c r="BB10" s="436"/>
      <c r="BC10" s="436"/>
      <c r="BD10" s="436"/>
      <c r="BE10" s="436"/>
      <c r="BF10" s="436"/>
      <c r="BG10" s="436"/>
      <c r="BH10" s="436"/>
      <c r="BI10" s="436"/>
      <c r="BJ10" s="436"/>
      <c r="BK10" s="436"/>
      <c r="BL10" s="436"/>
      <c r="BM10" s="436"/>
      <c r="BN10" s="515"/>
      <c r="BO10" s="515"/>
      <c r="BP10" s="436"/>
      <c r="BQ10" s="436"/>
      <c r="BR10" s="436"/>
      <c r="BS10" s="436"/>
      <c r="BT10" s="436"/>
      <c r="BU10" s="436"/>
      <c r="BV10" s="436"/>
      <c r="BW10" s="436"/>
      <c r="BX10" s="436"/>
      <c r="BY10" s="436"/>
      <c r="BZ10" s="436"/>
      <c r="CA10" s="436"/>
      <c r="CB10" s="436"/>
      <c r="CC10" s="436"/>
      <c r="CD10" s="436"/>
      <c r="CE10" s="436"/>
      <c r="CF10" s="436"/>
      <c r="CG10" s="436"/>
      <c r="CH10" s="436"/>
      <c r="CI10" s="436"/>
      <c r="CJ10" s="436"/>
      <c r="CK10" s="436"/>
      <c r="CL10" s="436"/>
      <c r="CM10" s="436"/>
      <c r="CN10" s="440"/>
      <c r="CO10" s="436"/>
      <c r="CP10" s="436"/>
      <c r="CQ10" s="436"/>
    </row>
    <row r="12" spans="1:95" x14ac:dyDescent="0.25">
      <c r="W12" s="48" t="s">
        <v>312</v>
      </c>
    </row>
  </sheetData>
  <phoneticPr fontId="49" type="noConversion"/>
  <conditionalFormatting sqref="A4:A10">
    <cfRule type="expression" dxfId="19" priority="1">
      <formula>(#REF!&gt;1)</formula>
    </cfRule>
  </conditionalFormatting>
  <dataValidations count="2">
    <dataValidation type="list" allowBlank="1" showInputMessage="1" showErrorMessage="1" sqref="B4:B9" xr:uid="{D464F017-CC07-4A7D-BFB8-07FC1541D0E8}">
      <formula1>"PH, TH, Joint TH &amp; PH-RRH, HMIS, SSO, TRA, PRA, SRA, S+C/SRO"</formula1>
    </dataValidation>
    <dataValidation type="list" allowBlank="1" showInputMessage="1" showErrorMessage="1" sqref="G4:G10" xr:uid="{6094B439-67A8-4D57-ACF0-8E778D1024B9}">
      <formula1>"Tenant-Based,Site-Based"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Instructions</vt:lpstr>
      <vt:lpstr>FY25 Standards</vt:lpstr>
      <vt:lpstr>FY25 Calculations</vt:lpstr>
      <vt:lpstr>FY25 Measure Types</vt:lpstr>
      <vt:lpstr>PSH Project Report</vt:lpstr>
      <vt:lpstr>RRH Project Report</vt:lpstr>
      <vt:lpstr>Summary Report</vt:lpstr>
      <vt:lpstr>Scoring Calculator</vt:lpstr>
      <vt:lpstr>Raw Project Data</vt:lpstr>
      <vt:lpstr>Example Shell Tables</vt:lpstr>
      <vt:lpstr>2019 Standards</vt:lpstr>
      <vt:lpstr>Ind. Report - SH</vt:lpstr>
      <vt:lpstr>vlookup- do not delete</vt:lpstr>
      <vt:lpstr>'Example Shell Tables'!Print_Area</vt:lpstr>
      <vt:lpstr>'Ind. Report - SH'!Print_Area</vt:lpstr>
      <vt:lpstr>'PSH Project Report'!Print_Area</vt:lpstr>
      <vt:lpstr>'RRH Project Report'!Print_Area</vt:lpstr>
      <vt:lpstr>'Example Shell Tables'!Print_Titles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Myles</dc:creator>
  <cp:lastModifiedBy>La Patra, Alicia</cp:lastModifiedBy>
  <cp:lastPrinted>2024-07-17T17:57:34Z</cp:lastPrinted>
  <dcterms:created xsi:type="dcterms:W3CDTF">2017-04-22T06:23:37Z</dcterms:created>
  <dcterms:modified xsi:type="dcterms:W3CDTF">2025-12-11T17:59:19Z</dcterms:modified>
</cp:coreProperties>
</file>